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7925" windowHeight="10260" activeTab="2"/>
  </bookViews>
  <sheets>
    <sheet name="VENITURI" sheetId="1" r:id="rId1"/>
    <sheet name="CHELTUIELI" sheetId="2" r:id="rId2"/>
    <sheet name="Sheet1" sheetId="3" r:id="rId3"/>
  </sheets>
  <externalReferences>
    <externalReference r:id="rId6"/>
  </externalReferences>
  <definedNames>
    <definedName name="_xlfn.BAHTTEXT" hidden="1">#NAME?</definedName>
  </definedNames>
  <calcPr fullCalcOnLoad="1"/>
</workbook>
</file>

<file path=xl/sharedStrings.xml><?xml version="1.0" encoding="utf-8"?>
<sst xmlns="http://schemas.openxmlformats.org/spreadsheetml/2006/main" count="445" uniqueCount="393">
  <si>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</si>
  <si>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</si>
  <si>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</si>
  <si>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</si>
  <si>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</si>
  <si>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</si>
  <si>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</si>
  <si>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</si>
  <si>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</si>
  <si>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</si>
  <si>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</si>
  <si>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</si>
  <si>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</si>
  <si>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</si>
  <si>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</si>
  <si>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</si>
  <si>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</si>
  <si>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</si>
  <si>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</si>
  <si>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</si>
  <si>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</si>
  <si>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</si>
  <si>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</si>
  <si>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</si>
  <si>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</si>
  <si>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</si>
  <si>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</si>
  <si>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</si>
  <si>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</si>
  <si>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</si>
  <si>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</si>
  <si>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</si>
  <si>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</si>
  <si>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</si>
  <si>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</si>
  <si>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</si>
  <si>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</si>
  <si>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</si>
  <si>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</si>
  <si>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</si>
  <si>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</si>
  <si>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</si>
  <si>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</si>
  <si>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</si>
  <si>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</si>
  <si>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</si>
  <si>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</si>
  <si>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</si>
  <si>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</si>
  <si>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</si>
  <si>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</si>
  <si>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</si>
  <si>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</si>
  <si>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</si>
  <si>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</si>
  <si>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</si>
  <si>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</si>
  <si>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</si>
  <si>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</si>
  <si>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</si>
  <si>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</si>
  <si>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</si>
  <si>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</si>
  <si>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</si>
  <si>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</si>
  <si>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</si>
  <si>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</si>
  <si>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</si>
  <si>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</si>
  <si>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</si>
  <si>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</si>
  <si>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</si>
  <si>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</si>
  <si>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</si>
  <si>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</si>
  <si>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</si>
  <si>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</si>
  <si>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</si>
  <si>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</si>
  <si>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</si>
  <si>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</si>
  <si>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</si>
  <si>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</si>
  <si>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</si>
  <si>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</si>
  <si>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</si>
  <si>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</si>
  <si>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</si>
  <si>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</si>
  <si>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</si>
  <si>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</si>
  <si>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</si>
  <si>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</si>
  <si>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</si>
  <si>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</si>
  <si>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</si>
  <si>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</si>
  <si>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</si>
  <si>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</si>
  <si>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</si>
  <si>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</si>
  <si>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</si>
  <si>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</si>
  <si>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</si>
  <si>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</si>
  <si>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</si>
  <si>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</si>
  <si>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</si>
  <si>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</si>
  <si>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</si>
  <si>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</si>
  <si>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</si>
  <si>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</si>
  <si>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</si>
  <si>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</si>
  <si>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</si>
  <si>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</si>
  <si>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</si>
  <si>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</si>
  <si>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</si>
  <si>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</si>
  <si>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</si>
  <si>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</si>
  <si>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</si>
  <si>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</si>
  <si>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</si>
  <si>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</si>
  <si>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</si>
  <si>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</si>
  <si>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</si>
  <si>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</si>
  <si>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</si>
  <si>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</si>
  <si>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</si>
  <si>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</si>
  <si>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</si>
  <si>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</si>
  <si>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</si>
  <si>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</si>
  <si>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</si>
  <si>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</si>
  <si>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</si>
  <si>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</si>
  <si>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</si>
  <si>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</si>
  <si>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</si>
  <si>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</si>
  <si>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</si>
  <si>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</si>
  <si>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</si>
  <si>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</si>
  <si>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</si>
  <si>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</si>
  <si>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</si>
  <si>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</si>
  <si>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</si>
  <si>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</si>
  <si>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</si>
  <si>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</si>
  <si>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</si>
  <si>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</si>
  <si>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</si>
  <si>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</si>
  <si>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</si>
  <si>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</si>
  <si>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</si>
  <si>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</si>
  <si>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</si>
  <si>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</si>
  <si>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</si>
  <si>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</si>
  <si>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</si>
  <si>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</si>
  <si>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</si>
  <si>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</si>
  <si>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</si>
  <si>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</si>
  <si>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</si>
  <si>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</si>
  <si>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</si>
  <si>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</si>
  <si>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</si>
  <si>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</si>
  <si>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</si>
  <si>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</si>
  <si>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</si>
  <si>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</si>
  <si>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</si>
  <si>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</si>
  <si>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</si>
  <si>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</si>
  <si>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</si>
  <si>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</si>
  <si>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</si>
  <si>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</si>
  <si>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</si>
  <si>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</si>
  <si>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</si>
  <si>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</si>
  <si>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</si>
  <si>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</si>
  <si>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</si>
  <si>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</si>
  <si>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</si>
  <si>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</si>
  <si>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</si>
  <si>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</si>
  <si>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</si>
  <si>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</si>
  <si>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</si>
  <si>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</si>
  <si>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</si>
  <si>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</si>
  <si>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</si>
  <si>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</si>
  <si>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</si>
  <si>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</si>
  <si>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</si>
  <si>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</si>
  <si>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</si>
  <si>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</si>
  <si>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</si>
  <si>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</si>
  <si>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</si>
  <si>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</si>
  <si>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</si>
  <si>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</si>
  <si>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</si>
  <si>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</si>
  <si>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</si>
  <si>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</si>
  <si>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</si>
  <si>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</si>
  <si>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</si>
  <si>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</si>
  <si>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</si>
  <si>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</si>
  <si>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</si>
  <si>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</si>
  <si>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</si>
  <si>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</si>
  <si>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</si>
  <si>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</si>
  <si>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</si>
  <si>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</si>
  <si>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</si>
  <si>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</si>
  <si>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</si>
  <si>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</si>
  <si>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</si>
  <si>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</si>
  <si>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</si>
  <si>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</si>
  <si>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</si>
  <si>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</si>
  <si>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</si>
  <si>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</si>
  <si>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</si>
  <si>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</si>
  <si>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</si>
  <si>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</si>
  <si>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</si>
  <si>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</si>
  <si>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</si>
  <si>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</si>
  <si>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</si>
  <si>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</si>
  <si>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</si>
  <si>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</si>
  <si>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</si>
  <si>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</si>
  <si>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</si>
  <si>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</si>
  <si>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</si>
  <si>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</si>
  <si>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</si>
  <si>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</si>
  <si>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</si>
  <si>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</si>
  <si>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</si>
  <si>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</si>
  <si>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</si>
  <si>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</si>
  <si>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</si>
  <si>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</si>
  <si>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</si>
  <si>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</si>
  <si>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</si>
  <si>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</si>
  <si>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</si>
  <si>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</si>
  <si>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</si>
  <si>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</si>
  <si>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</si>
  <si>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</si>
  <si>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</si>
  <si>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</si>
  <si>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</si>
  <si>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</si>
  <si>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</si>
  <si>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</si>
  <si>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</si>
  <si>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</si>
  <si>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</si>
  <si>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</si>
  <si>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</si>
  <si>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</si>
  <si>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</si>
  <si>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</si>
  <si>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</si>
  <si>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</si>
  <si>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</si>
  <si>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</si>
  <si>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</si>
  <si>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</si>
  <si>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</si>
  <si>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</si>
  <si>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</si>
  <si>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</si>
  <si>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</si>
  <si>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</si>
  <si>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</si>
  <si>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</si>
  <si>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</si>
  <si>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</si>
  <si>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</si>
  <si>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</si>
  <si>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</si>
  <si>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</si>
  <si>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</si>
  <si>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</si>
  <si>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</si>
  <si>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</si>
  <si>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</si>
  <si>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</si>
  <si>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</si>
  <si>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</si>
  <si>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</si>
  <si>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</si>
  <si>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</si>
  <si>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</si>
  <si>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</si>
  <si>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</si>
  <si>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</si>
  <si>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</si>
  <si>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</si>
  <si>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</si>
  <si>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</si>
  <si>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</si>
  <si>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</si>
  <si>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</si>
  <si>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</si>
  <si>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</si>
  <si>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</si>
  <si>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</si>
  <si>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</si>
  <si>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</si>
  <si>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</si>
  <si>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</si>
  <si>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</si>
  <si>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</si>
  <si>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</si>
  <si>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</si>
  <si>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</si>
  <si>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</si>
  <si>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</si>
  <si>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</si>
  <si>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</si>
  <si>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</si>
  <si>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</si>
  <si>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</si>
  <si>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</si>
  <si>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</si>
  <si>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</si>
  <si>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</si>
  <si>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</si>
  <si>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</si>
  <si>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</si>
  <si>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</si>
  <si>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</si>
  <si>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</si>
  <si>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</si>
  <si>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CASA DE ASIGURARI DE SANATATE  BISTRITA - NASAUD</t>
  </si>
  <si>
    <t xml:space="preserve">   Ec.  Ilisuan  Camelia</t>
  </si>
  <si>
    <t>Director  executiv  economic</t>
  </si>
  <si>
    <t>Ec. Ratiu  Mircea</t>
  </si>
  <si>
    <t>CASA   DE ASIGURARI  DE SANATATE  BISTRITA - NASAUD</t>
  </si>
  <si>
    <t>Nr             /  12,07,2017</t>
  </si>
  <si>
    <t>CONT DE EXECUTIE VENITURI IUNIE   2017</t>
  </si>
  <si>
    <t>CONT DE EXECUTIE CHELTUIELI IUNIE   2017</t>
  </si>
  <si>
    <t>Plati efectuate cumulate</t>
  </si>
  <si>
    <t>la</t>
  </si>
  <si>
    <t>Credite bugetare anuale aprobate la 30.06.2017</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</si>
</sst>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i/>
      <sz val="10"/>
      <color theme="0"/>
      <name val="Arial"/>
      <family val="2"/>
    </font>
    <font>
      <b/>
      <i/>
      <sz val="10"/>
      <color rgb="FFFFFFFF"/>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2">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2"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4" fontId="39" fillId="0" borderId="10" xfId="0" applyNumberFormat="1" applyFont="1" applyFill="1" applyBorder="1" applyAlignment="1" applyProtection="1">
      <alignment horizontal="right" wrapText="1"/>
      <protection/>
    </xf>
    <xf numFmtId="0" fontId="34" fillId="0" borderId="0" xfId="0" applyFont="1" applyFill="1" applyAlignment="1">
      <alignment wrapText="1"/>
    </xf>
    <xf numFmtId="0" fontId="34" fillId="0" borderId="0" xfId="0" applyFont="1" applyFill="1" applyAlignment="1">
      <alignment/>
    </xf>
    <xf numFmtId="4" fontId="34" fillId="0" borderId="0" xfId="0" applyNumberFormat="1" applyFont="1" applyFill="1" applyAlignment="1">
      <alignment/>
    </xf>
    <xf numFmtId="0" fontId="23" fillId="0" borderId="0" xfId="0" applyFont="1" applyFill="1" applyAlignment="1">
      <alignment wrapText="1"/>
    </xf>
    <xf numFmtId="4" fontId="23" fillId="0" borderId="0" xfId="0" applyNumberFormat="1" applyFont="1" applyFill="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horizontal="righ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10" fontId="0" fillId="0" borderId="0" xfId="0" applyNumberFormat="1" applyAlignment="1">
      <alignment/>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horizontal="right" vertical="center" wrapText="1"/>
    </xf>
    <xf numFmtId="0" fontId="23" fillId="0" borderId="14" xfId="0" applyFont="1" applyBorder="1" applyAlignment="1">
      <alignment horizontal="center" vertical="center" wrapText="1"/>
    </xf>
    <xf numFmtId="14" fontId="23" fillId="0" borderId="14" xfId="0" applyNumberFormat="1" applyFont="1" applyBorder="1" applyAlignment="1">
      <alignment horizontal="center" vertical="center" wrapText="1"/>
    </xf>
    <xf numFmtId="0" fontId="43" fillId="0" borderId="14" xfId="0" applyFont="1" applyBorder="1" applyAlignment="1">
      <alignment horizontal="center" vertical="center" wrapText="1"/>
    </xf>
    <xf numFmtId="4" fontId="23" fillId="0" borderId="14" xfId="0" applyNumberFormat="1" applyFont="1" applyBorder="1" applyAlignment="1">
      <alignment horizontal="right" vertical="center" wrapText="1"/>
    </xf>
    <xf numFmtId="0" fontId="23" fillId="0" borderId="14" xfId="0" applyFont="1" applyBorder="1" applyAlignment="1">
      <alignment horizontal="right" vertical="center" wrapText="1"/>
    </xf>
    <xf numFmtId="4" fontId="0" fillId="0" borderId="14" xfId="0" applyNumberFormat="1" applyFont="1" applyBorder="1" applyAlignment="1">
      <alignment horizontal="right" vertical="center" wrapText="1"/>
    </xf>
    <xf numFmtId="0" fontId="23" fillId="0" borderId="14" xfId="0" applyFont="1" applyBorder="1" applyAlignment="1">
      <alignment vertical="center" wrapText="1"/>
    </xf>
    <xf numFmtId="4" fontId="34" fillId="0" borderId="14" xfId="0" applyNumberFormat="1" applyFont="1" applyBorder="1" applyAlignment="1">
      <alignment horizontal="right" vertical="center" wrapText="1"/>
    </xf>
    <xf numFmtId="0" fontId="21" fillId="0" borderId="14" xfId="0" applyFont="1" applyBorder="1" applyAlignment="1">
      <alignment horizontal="right" vertical="center" wrapText="1"/>
    </xf>
    <xf numFmtId="4" fontId="21" fillId="0" borderId="14" xfId="0" applyNumberFormat="1" applyFont="1" applyBorder="1" applyAlignment="1">
      <alignment horizontal="right" vertical="center" wrapText="1"/>
    </xf>
    <xf numFmtId="0" fontId="24" fillId="0" borderId="14" xfId="0" applyFont="1" applyBorder="1" applyAlignment="1">
      <alignment vertical="center" wrapText="1"/>
    </xf>
    <xf numFmtId="0" fontId="25" fillId="0" borderId="14" xfId="0" applyFont="1" applyBorder="1" applyAlignment="1">
      <alignmen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P141"/>
  <sheetViews>
    <sheetView zoomScalePageLayoutView="0" workbookViewId="0" topLeftCell="A1">
      <pane xSplit="3" ySplit="8" topLeftCell="D9" activePane="bottomRight" state="frozen"/>
      <selection pane="topLeft" activeCell="D37" sqref="D37"/>
      <selection pane="topRight" activeCell="D37" sqref="D37"/>
      <selection pane="bottomLeft" activeCell="D37" sqref="D37"/>
      <selection pane="bottomRight" activeCell="E9" sqref="E9"/>
    </sheetView>
  </sheetViews>
  <sheetFormatPr defaultColWidth="9.140625" defaultRowHeight="12.75"/>
  <cols>
    <col min="1" max="1" width="10.28125" style="1" bestFit="1" customWidth="1"/>
    <col min="2" max="2" width="57.57421875" style="9" customWidth="1"/>
    <col min="3" max="3" width="14.00390625" style="34" customWidth="1"/>
    <col min="4" max="4" width="12.00390625" style="34"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382</v>
      </c>
    </row>
    <row r="2" ht="12.75">
      <c r="B2" s="9" t="s">
        <v>387</v>
      </c>
    </row>
    <row r="3" spans="2:133" ht="18.75">
      <c r="B3" s="14" t="s">
        <v>388</v>
      </c>
      <c r="C3" s="15"/>
      <c r="D3" s="1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row>
    <row r="4" spans="2:133" ht="17.25" customHeight="1">
      <c r="B4" s="16"/>
      <c r="C4" s="15"/>
      <c r="D4" s="1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1:159" ht="12.75">
      <c r="A5" s="4"/>
      <c r="B5" s="17"/>
      <c r="C5" s="2"/>
      <c r="D5" s="2"/>
      <c r="E5" s="2"/>
      <c r="F5" s="2"/>
      <c r="FC5" s="18"/>
    </row>
    <row r="6" spans="2:159" ht="12.75" customHeight="1">
      <c r="B6" s="3"/>
      <c r="C6" s="20"/>
      <c r="D6" s="20"/>
      <c r="E6" s="2"/>
      <c r="F6" s="21" t="s">
        <v>0</v>
      </c>
      <c r="G6" s="22"/>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4"/>
      <c r="EF6" s="144"/>
      <c r="EG6" s="144"/>
      <c r="EH6" s="144"/>
      <c r="EI6" s="144"/>
      <c r="EJ6" s="141"/>
      <c r="EK6" s="141"/>
      <c r="EL6" s="141"/>
      <c r="EM6" s="141"/>
      <c r="EN6" s="141"/>
      <c r="EO6" s="141"/>
      <c r="EP6" s="141"/>
      <c r="EQ6" s="141"/>
      <c r="ER6" s="141"/>
      <c r="ES6" s="141"/>
      <c r="ET6" s="141"/>
      <c r="EU6" s="141"/>
      <c r="EV6" s="141"/>
      <c r="EW6" s="141"/>
      <c r="EX6" s="141"/>
      <c r="EY6" s="141"/>
      <c r="EZ6" s="141"/>
      <c r="FA6" s="141"/>
      <c r="FB6" s="141"/>
      <c r="FC6" s="141"/>
    </row>
    <row r="7" spans="1:172" s="25" customFormat="1" ht="76.5">
      <c r="A7" s="36" t="s">
        <v>1</v>
      </c>
      <c r="B7" s="36" t="s">
        <v>2</v>
      </c>
      <c r="C7" s="36" t="s">
        <v>3</v>
      </c>
      <c r="D7" s="37" t="s">
        <v>4</v>
      </c>
      <c r="E7" s="36" t="s">
        <v>5</v>
      </c>
      <c r="F7" s="36" t="s">
        <v>6</v>
      </c>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19"/>
      <c r="FE7" s="19"/>
      <c r="FF7" s="19"/>
      <c r="FG7" s="19"/>
      <c r="FH7" s="19"/>
      <c r="FI7" s="19"/>
      <c r="FJ7" s="19"/>
      <c r="FK7" s="19"/>
      <c r="FL7" s="19"/>
      <c r="FM7" s="19"/>
      <c r="FN7" s="19"/>
      <c r="FO7" s="19"/>
      <c r="FP7" s="19"/>
    </row>
    <row r="8" spans="1:172" s="28" customFormat="1" ht="12.75">
      <c r="A8" s="38"/>
      <c r="B8" s="39"/>
      <c r="C8" s="55">
        <v>1</v>
      </c>
      <c r="D8" s="38" t="s">
        <v>140</v>
      </c>
      <c r="E8" s="55">
        <v>2</v>
      </c>
      <c r="F8" s="38" t="s">
        <v>7</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7"/>
      <c r="FE8" s="27"/>
      <c r="FF8" s="27"/>
      <c r="FG8" s="27"/>
      <c r="FH8" s="27"/>
      <c r="FI8" s="27"/>
      <c r="FJ8" s="27"/>
      <c r="FK8" s="27"/>
      <c r="FL8" s="27"/>
      <c r="FM8" s="27"/>
      <c r="FN8" s="27"/>
      <c r="FO8" s="27"/>
      <c r="FP8" s="27"/>
    </row>
    <row r="9" spans="1:161" ht="12.75">
      <c r="A9" s="40" t="s">
        <v>8</v>
      </c>
      <c r="B9" s="41" t="s">
        <v>9</v>
      </c>
      <c r="C9" s="10">
        <f>+C10+C56</f>
        <v>135359.43</v>
      </c>
      <c r="D9" s="10">
        <f>+D10+D56</f>
        <v>66668.26</v>
      </c>
      <c r="E9" s="10">
        <f>+E10+E56</f>
        <v>65069.53999999999</v>
      </c>
      <c r="F9" s="10">
        <f>+F10+F56</f>
        <v>10473.369999999999</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12.75">
      <c r="A10" s="40" t="s">
        <v>10</v>
      </c>
      <c r="B10" s="41" t="s">
        <v>11</v>
      </c>
      <c r="C10" s="10">
        <f>+C15+C43+C11</f>
        <v>127970.61</v>
      </c>
      <c r="D10" s="10">
        <f>+D15+D43+D11</f>
        <v>61334.61</v>
      </c>
      <c r="E10" s="10">
        <f>+E15+E43+E11</f>
        <v>63079.689999999995</v>
      </c>
      <c r="F10" s="10">
        <f>+F15+F43+F11</f>
        <v>10120.939999999999</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0" t="s">
        <v>12</v>
      </c>
      <c r="B11" s="41" t="s">
        <v>13</v>
      </c>
      <c r="C11" s="10">
        <f>+C12+C13+C14</f>
        <v>0</v>
      </c>
      <c r="D11" s="10">
        <f>+D12+D13+D14</f>
        <v>0</v>
      </c>
      <c r="E11" s="10">
        <f>+E12+E13+E14</f>
        <v>0</v>
      </c>
      <c r="F11" s="10">
        <f>+F12+F13+F14</f>
        <v>0</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38.25">
      <c r="A12" s="40" t="s">
        <v>14</v>
      </c>
      <c r="B12" s="41" t="s">
        <v>15</v>
      </c>
      <c r="C12" s="10"/>
      <c r="D12" s="7"/>
      <c r="E12" s="10"/>
      <c r="F12" s="10"/>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0" t="s">
        <v>16</v>
      </c>
      <c r="B13" s="41" t="s">
        <v>17</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c r="B14" s="105" t="s">
        <v>343</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0" t="s">
        <v>18</v>
      </c>
      <c r="B15" s="41" t="s">
        <v>19</v>
      </c>
      <c r="C15" s="10">
        <f>+C16+C24</f>
        <v>127849.61</v>
      </c>
      <c r="D15" s="10">
        <f>+D16+D24</f>
        <v>61241.61</v>
      </c>
      <c r="E15" s="10">
        <f>+E16+E24</f>
        <v>62995.759999999995</v>
      </c>
      <c r="F15" s="10">
        <f>+F16+F24</f>
        <v>10115.3</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0" t="s">
        <v>20</v>
      </c>
      <c r="B16" s="41" t="s">
        <v>21</v>
      </c>
      <c r="C16" s="10">
        <f>+C17</f>
        <v>63113.61</v>
      </c>
      <c r="D16" s="10">
        <f>+D17</f>
        <v>30813.61</v>
      </c>
      <c r="E16" s="10">
        <f>+E17</f>
        <v>30526.809999999998</v>
      </c>
      <c r="F16" s="10">
        <f>+F17</f>
        <v>4726.11</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0" t="s">
        <v>22</v>
      </c>
      <c r="B17" s="41" t="s">
        <v>23</v>
      </c>
      <c r="C17" s="10">
        <f>C18+C19+C21+C22+C23+C20</f>
        <v>63113.61</v>
      </c>
      <c r="D17" s="10">
        <f>D18+D19+D21+D22+D23+D20</f>
        <v>30813.61</v>
      </c>
      <c r="E17" s="10">
        <f>E18+E19+E21+E22+E23+E20</f>
        <v>30526.809999999998</v>
      </c>
      <c r="F17" s="10">
        <f>F18+F19+F21+F22+F23+F20</f>
        <v>4726.11</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2" t="s">
        <v>24</v>
      </c>
      <c r="B18" s="43" t="s">
        <v>25</v>
      </c>
      <c r="C18" s="10">
        <f>63056+57.61</f>
        <v>63113.61</v>
      </c>
      <c r="D18" s="7">
        <v>30813.61</v>
      </c>
      <c r="E18" s="7">
        <f>8243.62+4185.04+4648.48+4493.36+4360.73</f>
        <v>25931.23</v>
      </c>
      <c r="F18" s="7">
        <v>4360.73</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2" t="s">
        <v>26</v>
      </c>
      <c r="B19" s="43" t="s">
        <v>27</v>
      </c>
      <c r="C19" s="10"/>
      <c r="D19" s="7"/>
      <c r="E19" s="7">
        <f>79.84+86.05+53.74+46.97+42.52</f>
        <v>309.12</v>
      </c>
      <c r="F19" s="7">
        <v>42.52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2" t="s">
        <v>28</v>
      </c>
      <c r="B20" s="43" t="s">
        <v>29</v>
      </c>
      <c r="C20" s="10"/>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2" t="s">
        <v>30</v>
      </c>
      <c r="B21" s="43" t="s">
        <v>31</v>
      </c>
      <c r="C21" s="10"/>
      <c r="D21" s="7"/>
      <c r="E21" s="7">
        <f>1512.32+320.13+398.25+57.61-0.01+365.79+496.48+346.25+466.78+321.09+1.77</f>
        <v>4286.46</v>
      </c>
      <c r="F21" s="7">
        <f>321.09+1.77</f>
        <v>322.85999999999996</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2" t="s">
        <v>32</v>
      </c>
      <c r="B22" s="43" t="s">
        <v>33</v>
      </c>
      <c r="C22" s="10"/>
      <c r="D22" s="7"/>
      <c r="E22" s="7"/>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2" t="s">
        <v>34</v>
      </c>
      <c r="B23" s="44"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0" t="s">
        <v>36</v>
      </c>
      <c r="B24" s="41" t="s">
        <v>37</v>
      </c>
      <c r="C24" s="10">
        <f>C25+C31+C42+C32+C33+C34+C35+C36+C37+C38+C39+C40+C41</f>
        <v>64736</v>
      </c>
      <c r="D24" s="10">
        <f>D25+D31+D42+D32+D33+D34+D35+D36+D37+D38+D39+D40+D41</f>
        <v>30428</v>
      </c>
      <c r="E24" s="10">
        <f>E25+E31+E42+E32+E33+E34+E35+E36+E37+E38+E39+E40+E41</f>
        <v>32468.95</v>
      </c>
      <c r="F24" s="10">
        <f>F25+F31+F42+F32+F33+F34+F35+F36+F37+F38+F39+F40+F41</f>
        <v>5389.189999999999</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0" t="s">
        <v>38</v>
      </c>
      <c r="B25" s="41" t="s">
        <v>39</v>
      </c>
      <c r="C25" s="10">
        <f>C26+C27+C28+C29+C30</f>
        <v>63592</v>
      </c>
      <c r="D25" s="10">
        <f>D26+D27+D28+D29+D30</f>
        <v>29857</v>
      </c>
      <c r="E25" s="10">
        <f>E26+E27+E28+E29+E30</f>
        <v>30713.679999999997</v>
      </c>
      <c r="F25" s="10">
        <f>F26+F27+F28+F29+F30</f>
        <v>5138.369999999999</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2" t="s">
        <v>40</v>
      </c>
      <c r="B26" s="43" t="s">
        <v>41</v>
      </c>
      <c r="C26" s="10">
        <v>63592</v>
      </c>
      <c r="D26" s="7">
        <v>29857</v>
      </c>
      <c r="E26" s="7">
        <f>8696.48+4379.61+5027.3+4657.69+4616.07</f>
        <v>27377.149999999998</v>
      </c>
      <c r="F26" s="7">
        <v>4616.07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2" t="s">
        <v>42</v>
      </c>
      <c r="B27" s="45" t="s">
        <v>43</v>
      </c>
      <c r="C27" s="10"/>
      <c r="D27" s="7"/>
      <c r="E27" s="7">
        <f>720.66+570.9+308.99+172.66+519.74</f>
        <v>2292.95</v>
      </c>
      <c r="F27" s="7">
        <v>519.74</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2" t="s">
        <v>44</v>
      </c>
      <c r="B28" s="43" t="s">
        <v>45</v>
      </c>
      <c r="C28" s="10"/>
      <c r="D28" s="7"/>
      <c r="E28" s="7">
        <f>2.21+0.76+0.53+0.68+0.99</f>
        <v>5.17</v>
      </c>
      <c r="F28" s="7">
        <v>0.99</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2" t="s">
        <v>46</v>
      </c>
      <c r="B29" s="43" t="s">
        <v>47</v>
      </c>
      <c r="C29" s="10"/>
      <c r="D29" s="7"/>
      <c r="E29" s="7">
        <f>987.76+46+1.51+1.57+1.57</f>
        <v>1038.4099999999999</v>
      </c>
      <c r="F29" s="7">
        <v>1.57</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2" t="s">
        <v>48</v>
      </c>
      <c r="B30" s="43"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2" t="s">
        <v>50</v>
      </c>
      <c r="B31" s="43" t="s">
        <v>51</v>
      </c>
      <c r="C31" s="10"/>
      <c r="D31" s="7"/>
      <c r="E31" s="7">
        <v>0</v>
      </c>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2" t="s">
        <v>52</v>
      </c>
      <c r="B32" s="46" t="s">
        <v>53</v>
      </c>
      <c r="C32" s="10"/>
      <c r="D32" s="7"/>
      <c r="E32" s="7">
        <v>0</v>
      </c>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2" t="s">
        <v>54</v>
      </c>
      <c r="B33" s="43" t="s">
        <v>55</v>
      </c>
      <c r="C33" s="10">
        <v>7</v>
      </c>
      <c r="D33" s="7">
        <v>5</v>
      </c>
      <c r="E33" s="7">
        <f>2.81+3.5+1.4+1.29</f>
        <v>9</v>
      </c>
      <c r="F33" s="7">
        <v>1.29</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2" t="s">
        <v>56</v>
      </c>
      <c r="B34" s="43" t="s">
        <v>57</v>
      </c>
      <c r="C34" s="10">
        <v>253</v>
      </c>
      <c r="D34" s="7">
        <v>129</v>
      </c>
      <c r="E34" s="7">
        <f>36.41+6.89+15.42+7.16</f>
        <v>65.88</v>
      </c>
      <c r="F34" s="7">
        <v>7.16</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2" t="s">
        <v>58</v>
      </c>
      <c r="B35" s="43" t="s">
        <v>59</v>
      </c>
      <c r="C35" s="10"/>
      <c r="D35" s="7"/>
      <c r="E35" s="7">
        <v>0</v>
      </c>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2" t="s">
        <v>60</v>
      </c>
      <c r="B36" s="43" t="s">
        <v>61</v>
      </c>
      <c r="C36" s="10"/>
      <c r="D36" s="7"/>
      <c r="E36" s="7">
        <v>0</v>
      </c>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2" t="s">
        <v>62</v>
      </c>
      <c r="B37" s="43" t="s">
        <v>63</v>
      </c>
      <c r="C37" s="10"/>
      <c r="D37" s="7"/>
      <c r="E37" s="7">
        <f>0.08+0.03+0.04</f>
        <v>0.15</v>
      </c>
      <c r="F37" s="7">
        <v>0</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2" t="s">
        <v>64</v>
      </c>
      <c r="B38" s="43" t="s">
        <v>65</v>
      </c>
      <c r="C38" s="10"/>
      <c r="D38" s="7"/>
      <c r="E38" s="7">
        <v>0</v>
      </c>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2" t="s">
        <v>66</v>
      </c>
      <c r="B39" s="43" t="s">
        <v>67</v>
      </c>
      <c r="C39" s="10">
        <v>29</v>
      </c>
      <c r="D39" s="7">
        <v>14</v>
      </c>
      <c r="E39" s="7">
        <f>5.88+0.17+0.01+0.43</f>
        <v>6.489999999999999</v>
      </c>
      <c r="F39" s="7">
        <v>0.43</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2" t="s">
        <v>68</v>
      </c>
      <c r="B40" s="43" t="s">
        <v>69</v>
      </c>
      <c r="C40" s="10">
        <v>855</v>
      </c>
      <c r="D40" s="7">
        <v>423</v>
      </c>
      <c r="E40" s="7">
        <f>197.1+52.07+34.66+129.98</f>
        <v>413.80999999999995</v>
      </c>
      <c r="F40" s="7">
        <v>129.98</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2"/>
      <c r="B41" s="43" t="s">
        <v>70</v>
      </c>
      <c r="C41" s="10"/>
      <c r="D41" s="7"/>
      <c r="E41" s="7">
        <f>603.81+335.62+208.55+111.96</f>
        <v>1259.94</v>
      </c>
      <c r="F41" s="7">
        <v>111.96</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71</v>
      </c>
      <c r="B42" s="43" t="s">
        <v>72</v>
      </c>
      <c r="C42" s="10"/>
      <c r="D42" s="7"/>
      <c r="E42" s="7">
        <v>0</v>
      </c>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73</v>
      </c>
      <c r="B43" s="41" t="s">
        <v>74</v>
      </c>
      <c r="C43" s="10">
        <f>+C44+C49</f>
        <v>121</v>
      </c>
      <c r="D43" s="10">
        <f>+D44+D49</f>
        <v>93</v>
      </c>
      <c r="E43" s="10">
        <f>+E44+E49</f>
        <v>83.92999999999999</v>
      </c>
      <c r="F43" s="10">
        <f>+F44+F49</f>
        <v>5.64</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75</v>
      </c>
      <c r="B44" s="41" t="s">
        <v>76</v>
      </c>
      <c r="C44" s="10">
        <f>+C45+C47</f>
        <v>0</v>
      </c>
      <c r="D44" s="10">
        <f>+D45+D47</f>
        <v>0</v>
      </c>
      <c r="E44" s="10">
        <f>+E45+E47</f>
        <v>0</v>
      </c>
      <c r="F44" s="10">
        <f>+F45+F47</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77</v>
      </c>
      <c r="B45" s="41" t="s">
        <v>78</v>
      </c>
      <c r="C45" s="10">
        <f>+C46</f>
        <v>0</v>
      </c>
      <c r="D45" s="10">
        <f>+D46</f>
        <v>0</v>
      </c>
      <c r="E45" s="10">
        <f>+E46</f>
        <v>0</v>
      </c>
      <c r="F45" s="10">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2" t="s">
        <v>79</v>
      </c>
      <c r="B46" s="43"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0" t="s">
        <v>81</v>
      </c>
      <c r="B47" s="41" t="s">
        <v>82</v>
      </c>
      <c r="C47" s="10">
        <f>+C48</f>
        <v>0</v>
      </c>
      <c r="D47" s="10">
        <f>+D48</f>
        <v>0</v>
      </c>
      <c r="E47" s="10">
        <f>+E48</f>
        <v>0</v>
      </c>
      <c r="F47" s="10">
        <f>+F48</f>
        <v>0</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t="s">
        <v>83</v>
      </c>
      <c r="B48" s="43"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7" t="s">
        <v>85</v>
      </c>
      <c r="B49" s="41" t="s">
        <v>86</v>
      </c>
      <c r="C49" s="10">
        <f>+C50+C54</f>
        <v>121</v>
      </c>
      <c r="D49" s="10">
        <f>+D50+D54</f>
        <v>93</v>
      </c>
      <c r="E49" s="10">
        <f>+E50+E54</f>
        <v>83.92999999999999</v>
      </c>
      <c r="F49" s="10">
        <f>+F50+F54</f>
        <v>5.64</v>
      </c>
      <c r="G49" s="35"/>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0" t="s">
        <v>87</v>
      </c>
      <c r="B50" s="41" t="s">
        <v>88</v>
      </c>
      <c r="C50" s="10">
        <f>C53+C51+C52</f>
        <v>121</v>
      </c>
      <c r="D50" s="10">
        <f>D53+D51+D52</f>
        <v>93</v>
      </c>
      <c r="E50" s="10">
        <f>E53+E51+E52</f>
        <v>83.92999999999999</v>
      </c>
      <c r="F50" s="10">
        <f>F53+F51+F52</f>
        <v>5.64</v>
      </c>
      <c r="G50" s="35"/>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104" t="s">
        <v>345</v>
      </c>
      <c r="B51" s="41"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4.25" customHeight="1">
      <c r="A52" s="104" t="s">
        <v>346</v>
      </c>
      <c r="B52" s="41" t="s">
        <v>347</v>
      </c>
      <c r="C52" s="10"/>
      <c r="D52" s="10"/>
      <c r="E52" s="10"/>
      <c r="F52" s="10"/>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2" t="s">
        <v>90</v>
      </c>
      <c r="B53" s="48" t="s">
        <v>91</v>
      </c>
      <c r="C53" s="10">
        <v>121</v>
      </c>
      <c r="D53" s="7">
        <v>93</v>
      </c>
      <c r="E53" s="7">
        <f>16.96+44.2+6.39+10.74+5.64</f>
        <v>83.92999999999999</v>
      </c>
      <c r="F53" s="7">
        <v>5.64</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92</v>
      </c>
      <c r="B54" s="41" t="s">
        <v>93</v>
      </c>
      <c r="C54" s="10">
        <f>C55</f>
        <v>0</v>
      </c>
      <c r="D54" s="10">
        <f>D55</f>
        <v>0</v>
      </c>
      <c r="E54" s="10">
        <f>E55</f>
        <v>0</v>
      </c>
      <c r="F54" s="10">
        <f>F55</f>
        <v>0</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2" t="s">
        <v>94</v>
      </c>
      <c r="B55" s="48" t="s">
        <v>95</v>
      </c>
      <c r="C55" s="10"/>
      <c r="D55" s="7"/>
      <c r="E55" s="7"/>
      <c r="F55" s="7"/>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96</v>
      </c>
      <c r="B56" s="41" t="s">
        <v>97</v>
      </c>
      <c r="C56" s="10">
        <f>+C57</f>
        <v>7388.82</v>
      </c>
      <c r="D56" s="10">
        <f>+D57</f>
        <v>5333.65</v>
      </c>
      <c r="E56" s="10">
        <f>+E57</f>
        <v>1989.85</v>
      </c>
      <c r="F56" s="10">
        <f>+F57</f>
        <v>352.43000000000006</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0" t="s">
        <v>98</v>
      </c>
      <c r="B57" s="41" t="s">
        <v>99</v>
      </c>
      <c r="C57" s="10">
        <f>+C58+C70</f>
        <v>7388.82</v>
      </c>
      <c r="D57" s="10">
        <f>+D58+D70</f>
        <v>5333.65</v>
      </c>
      <c r="E57" s="10">
        <f>+E58+E70</f>
        <v>1989.85</v>
      </c>
      <c r="F57" s="10">
        <f>+F58+F70</f>
        <v>352.43000000000006</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12.75">
      <c r="A58" s="40" t="s">
        <v>100</v>
      </c>
      <c r="B58" s="41" t="s">
        <v>101</v>
      </c>
      <c r="C58" s="10">
        <f>C59+C60+C61+C62+C64+C65+C66+C67+C63+C68+C69</f>
        <v>6496.82</v>
      </c>
      <c r="D58" s="10">
        <f>D59+D60+D61+D62+D64+D65+D66+D67+D63+D68+D69</f>
        <v>4853.78</v>
      </c>
      <c r="E58" s="10">
        <f>E59+E60+E61+E62+E64+E65+E66+E67+E63+E68+E69</f>
        <v>1772.9099999999999</v>
      </c>
      <c r="F58" s="10">
        <f>F59+F60+F61+F62+F64+F65+F66+F67+F63+F68+F69</f>
        <v>317.45000000000005</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2" t="s">
        <v>102</v>
      </c>
      <c r="B59" s="48" t="s">
        <v>103</v>
      </c>
      <c r="C59" s="10"/>
      <c r="D59" s="7"/>
      <c r="E59" s="7"/>
      <c r="F59" s="7"/>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2" t="s">
        <v>104</v>
      </c>
      <c r="B60" s="48" t="s">
        <v>105</v>
      </c>
      <c r="C60" s="10">
        <v>32</v>
      </c>
      <c r="D60" s="7">
        <v>14</v>
      </c>
      <c r="E60" s="7">
        <f>120.04+72.36+73.37+81.79+79.91</f>
        <v>427.47</v>
      </c>
      <c r="F60" s="7">
        <v>79.91</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9" t="s">
        <v>106</v>
      </c>
      <c r="B61" s="48" t="s">
        <v>107</v>
      </c>
      <c r="C61" s="10">
        <v>3179</v>
      </c>
      <c r="D61" s="7">
        <v>3179</v>
      </c>
      <c r="E61" s="7"/>
      <c r="F61" s="7"/>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2" t="s">
        <v>108</v>
      </c>
      <c r="B62" s="50" t="s">
        <v>109</v>
      </c>
      <c r="C62" s="10">
        <v>2661</v>
      </c>
      <c r="D62" s="7">
        <f>493+777</f>
        <v>1270</v>
      </c>
      <c r="E62" s="7">
        <f>402.36+230.44+236.42+236.86+237.07</f>
        <v>1343.1499999999999</v>
      </c>
      <c r="F62" s="7">
        <v>237.07</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12.75">
      <c r="A63" s="42" t="s">
        <v>110</v>
      </c>
      <c r="B63" s="50" t="s">
        <v>111</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2" t="s">
        <v>112</v>
      </c>
      <c r="B64" s="50" t="s">
        <v>113</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2" t="s">
        <v>114</v>
      </c>
      <c r="B65" s="50" t="s">
        <v>115</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2" t="s">
        <v>116</v>
      </c>
      <c r="B66" s="50" t="s">
        <v>117</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51">
      <c r="A67" s="42" t="s">
        <v>118</v>
      </c>
      <c r="B67" s="50" t="s">
        <v>119</v>
      </c>
      <c r="C67" s="10"/>
      <c r="D67" s="7"/>
      <c r="E67" s="7">
        <f>0.42+0.48+0.48+0.44+0.47</f>
        <v>2.29</v>
      </c>
      <c r="F67" s="7">
        <v>0.47</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2" t="s">
        <v>120</v>
      </c>
      <c r="B68" s="50" t="s">
        <v>121</v>
      </c>
      <c r="C68" s="10">
        <v>624.82</v>
      </c>
      <c r="D68" s="7">
        <v>390.78</v>
      </c>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2" t="s">
        <v>360</v>
      </c>
      <c r="B69" s="50" t="s">
        <v>361</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12.75">
      <c r="A70" s="40" t="s">
        <v>122</v>
      </c>
      <c r="B70" s="41" t="s">
        <v>123</v>
      </c>
      <c r="C70" s="10">
        <f>+C71+C72+C73+C74+C75+C76+C77+C78</f>
        <v>892</v>
      </c>
      <c r="D70" s="10">
        <f>+D71+D72+D73+D74+D75+D76+D77+D78</f>
        <v>479.87</v>
      </c>
      <c r="E70" s="10">
        <f>+E71+E72+E73+E74+E75+E76+E77+E78</f>
        <v>216.94</v>
      </c>
      <c r="F70" s="10">
        <f>+F71+F72+F73+F74+F75+F76+F77+F78</f>
        <v>34.98</v>
      </c>
      <c r="G70" s="35"/>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2" t="s">
        <v>124</v>
      </c>
      <c r="B71" s="43" t="s">
        <v>125</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2" t="s">
        <v>126</v>
      </c>
      <c r="B72" s="51" t="s">
        <v>109</v>
      </c>
      <c r="C72" s="10"/>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2" t="s">
        <v>127</v>
      </c>
      <c r="B73" s="43" t="s">
        <v>128</v>
      </c>
      <c r="C73" s="10"/>
      <c r="D73" s="7"/>
      <c r="E73" s="7"/>
      <c r="F73" s="7"/>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38.25">
      <c r="A74" s="42" t="s">
        <v>129</v>
      </c>
      <c r="B74" s="43" t="s">
        <v>130</v>
      </c>
      <c r="C74" s="10">
        <v>1</v>
      </c>
      <c r="D74" s="7">
        <f>0.25+0.75</f>
        <v>1</v>
      </c>
      <c r="E74" s="7">
        <f>0.02+0.01+0.06+0.29</f>
        <v>0.38</v>
      </c>
      <c r="F74" s="7">
        <v>0.29</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2" t="s">
        <v>131</v>
      </c>
      <c r="B75" s="43" t="s">
        <v>113</v>
      </c>
      <c r="C75" s="10"/>
      <c r="D75" s="7"/>
      <c r="E75" s="7">
        <f>72+36.4+36.05+35.84+34.18</f>
        <v>214.47</v>
      </c>
      <c r="F75" s="7">
        <v>34.18</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88" ht="25.5">
      <c r="A76" s="46" t="s">
        <v>132</v>
      </c>
      <c r="B76" s="52" t="s">
        <v>133</v>
      </c>
      <c r="C76" s="10">
        <v>891</v>
      </c>
      <c r="D76" s="7">
        <v>478.87</v>
      </c>
      <c r="E76" s="7"/>
      <c r="F76" s="7"/>
      <c r="AP76" s="2"/>
      <c r="BP76" s="2"/>
      <c r="BQ76" s="2"/>
      <c r="BR76" s="2"/>
      <c r="CJ76" s="2"/>
    </row>
    <row r="77" spans="1:172" s="25" customFormat="1" ht="51">
      <c r="A77" s="43" t="s">
        <v>134</v>
      </c>
      <c r="B77" s="53" t="s">
        <v>135</v>
      </c>
      <c r="C77" s="10"/>
      <c r="D77" s="7"/>
      <c r="E77" s="7">
        <f>0.88+0.21+0.2+0.29+0.51</f>
        <v>2.09</v>
      </c>
      <c r="F77" s="7">
        <v>0.51</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25.5">
      <c r="A78" s="43" t="s">
        <v>136</v>
      </c>
      <c r="B78" s="54" t="s">
        <v>137</v>
      </c>
      <c r="C78" s="10"/>
      <c r="D78" s="7"/>
      <c r="E78" s="7"/>
      <c r="F78" s="7"/>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99"/>
      <c r="B79" s="102"/>
      <c r="C79" s="100"/>
      <c r="D79" s="101"/>
      <c r="E79" s="101"/>
      <c r="F79" s="101"/>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99"/>
      <c r="B80" s="102"/>
      <c r="C80" s="100"/>
      <c r="D80" s="101"/>
      <c r="E80" s="101"/>
      <c r="F80" s="101"/>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142" t="s">
        <v>138</v>
      </c>
      <c r="B81" s="142"/>
      <c r="C81" s="30"/>
      <c r="D81" s="30"/>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2.75">
      <c r="A82" s="13"/>
      <c r="C82" s="30"/>
      <c r="D82" s="30"/>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31" customFormat="1" ht="15">
      <c r="A83" s="134"/>
      <c r="B83" s="135" t="s">
        <v>139</v>
      </c>
      <c r="C83" s="136"/>
      <c r="D83" s="136" t="s">
        <v>384</v>
      </c>
      <c r="E83" s="135"/>
      <c r="F83" s="135"/>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3"/>
      <c r="BQ83" s="33"/>
      <c r="BR83" s="33"/>
      <c r="BS83" s="32"/>
      <c r="BT83" s="32"/>
      <c r="BU83" s="32"/>
      <c r="BV83" s="32"/>
      <c r="BW83" s="32"/>
      <c r="BX83" s="32"/>
      <c r="BY83" s="32"/>
      <c r="BZ83" s="32"/>
      <c r="CA83" s="32"/>
      <c r="CB83" s="32"/>
      <c r="CC83" s="32"/>
      <c r="CD83" s="32"/>
      <c r="CE83" s="32"/>
      <c r="CF83" s="32"/>
      <c r="CG83" s="32"/>
      <c r="CH83" s="32"/>
      <c r="CI83" s="32"/>
      <c r="CJ83" s="33"/>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row>
    <row r="84" spans="1:172" s="25" customFormat="1" ht="12.75">
      <c r="A84" s="137"/>
      <c r="B84" s="12" t="s">
        <v>383</v>
      </c>
      <c r="C84" s="138"/>
      <c r="D84" s="138" t="s">
        <v>385</v>
      </c>
      <c r="E84" s="12"/>
      <c r="F84" s="12"/>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37"/>
      <c r="B85" s="12"/>
      <c r="C85" s="138"/>
      <c r="D85" s="138"/>
      <c r="E85" s="12"/>
      <c r="F85" s="12"/>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 customHeight="1">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sheetData>
  <sheetProtection/>
  <protectedRanges>
    <protectedRange sqref="D46:F46 D18:F23 C56:F57 D53:F53 D71:D78 D48 E76:F78 C47:F47 C49:G49 D79:F80 D12:D14 E61:F69 E71:F72 D26:F42 D55 D59:D69 C70:G70" name="Zonă1"/>
  </protectedRanges>
  <mergeCells count="32">
    <mergeCell ref="Y6:AC6"/>
    <mergeCell ref="AD6:AH6"/>
    <mergeCell ref="AI6:AM6"/>
    <mergeCell ref="AN6:AR6"/>
    <mergeCell ref="H6:I6"/>
    <mergeCell ref="J6:N6"/>
    <mergeCell ref="O6:S6"/>
    <mergeCell ref="T6:X6"/>
    <mergeCell ref="BM6:BQ6"/>
    <mergeCell ref="BR6:BV6"/>
    <mergeCell ref="BW6:CA6"/>
    <mergeCell ref="CB6:CF6"/>
    <mergeCell ref="AS6:AW6"/>
    <mergeCell ref="AX6:BB6"/>
    <mergeCell ref="BC6:BG6"/>
    <mergeCell ref="BH6:BL6"/>
    <mergeCell ref="DP6:DT6"/>
    <mergeCell ref="DU6:DY6"/>
    <mergeCell ref="CL6:CP6"/>
    <mergeCell ref="CQ6:CU6"/>
    <mergeCell ref="CV6:CZ6"/>
    <mergeCell ref="DA6:DE6"/>
    <mergeCell ref="ET6:EX6"/>
    <mergeCell ref="EY6:FC6"/>
    <mergeCell ref="A81:B81"/>
    <mergeCell ref="DZ6:ED6"/>
    <mergeCell ref="EE6:EI6"/>
    <mergeCell ref="EJ6:EN6"/>
    <mergeCell ref="EO6:ES6"/>
    <mergeCell ref="DF6:DJ6"/>
    <mergeCell ref="DK6:DO6"/>
    <mergeCell ref="CG6:CK6"/>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91"/>
  <sheetViews>
    <sheetView zoomScale="90" zoomScaleNormal="90" zoomScalePageLayoutView="0" workbookViewId="0" topLeftCell="A1">
      <pane xSplit="3" ySplit="8" topLeftCell="D174" activePane="bottomRight" state="frozen"/>
      <selection pane="topLeft" activeCell="G5" sqref="G5"/>
      <selection pane="topRight" activeCell="G5" sqref="G5"/>
      <selection pane="bottomLeft" activeCell="G5" sqref="G5"/>
      <selection pane="bottomRight" activeCell="F179" sqref="F179"/>
    </sheetView>
  </sheetViews>
  <sheetFormatPr defaultColWidth="9.140625" defaultRowHeight="12.75"/>
  <cols>
    <col min="1" max="1" width="14.00390625" style="106" customWidth="1"/>
    <col min="2" max="2" width="63.57421875" style="27" bestFit="1" customWidth="1"/>
    <col min="3" max="3" width="6.8515625" style="27" customWidth="1"/>
    <col min="4" max="4" width="14.57421875" style="27" customWidth="1"/>
    <col min="5" max="5" width="12.57421875" style="27" bestFit="1" customWidth="1"/>
    <col min="6" max="6" width="11.57421875" style="27" bestFit="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ht="12.75">
      <c r="B1" s="139" t="s">
        <v>386</v>
      </c>
    </row>
    <row r="3" spans="2:3" ht="15">
      <c r="B3" s="56" t="s">
        <v>389</v>
      </c>
      <c r="C3" s="57"/>
    </row>
    <row r="4" spans="2:3" ht="12.75">
      <c r="B4" s="57"/>
      <c r="C4" s="57"/>
    </row>
    <row r="5" spans="2:4" ht="12.75">
      <c r="B5" s="57"/>
      <c r="C5" s="57"/>
      <c r="D5" s="29"/>
    </row>
    <row r="6" spans="4:8" ht="12.75">
      <c r="D6" s="58"/>
      <c r="E6" s="58"/>
      <c r="F6" s="59"/>
      <c r="G6" s="60"/>
      <c r="H6" s="61" t="s">
        <v>141</v>
      </c>
    </row>
    <row r="7" spans="1:8" s="110" customFormat="1" ht="89.25">
      <c r="A7" s="107" t="s">
        <v>1</v>
      </c>
      <c r="B7" s="23" t="s">
        <v>2</v>
      </c>
      <c r="C7" s="23"/>
      <c r="D7" s="23" t="s">
        <v>142</v>
      </c>
      <c r="E7" s="5" t="s">
        <v>143</v>
      </c>
      <c r="F7" s="5" t="s">
        <v>144</v>
      </c>
      <c r="G7" s="23" t="s">
        <v>145</v>
      </c>
      <c r="H7" s="23" t="s">
        <v>146</v>
      </c>
    </row>
    <row r="8" spans="1:8" ht="12.75">
      <c r="A8" s="66"/>
      <c r="B8" s="6" t="s">
        <v>147</v>
      </c>
      <c r="C8" s="6"/>
      <c r="D8" s="113">
        <v>1</v>
      </c>
      <c r="E8" s="113">
        <v>2</v>
      </c>
      <c r="F8" s="113">
        <v>3</v>
      </c>
      <c r="G8" s="113">
        <v>4</v>
      </c>
      <c r="H8" s="113" t="s">
        <v>148</v>
      </c>
    </row>
    <row r="9" spans="1:12" s="11" customFormat="1" ht="12.75">
      <c r="A9" s="66" t="s">
        <v>149</v>
      </c>
      <c r="B9" s="62" t="s">
        <v>150</v>
      </c>
      <c r="C9" s="63">
        <f aca="true" t="shared" si="0" ref="C9:H9">+C10+C17</f>
        <v>0</v>
      </c>
      <c r="D9" s="63">
        <f t="shared" si="0"/>
        <v>213066.25999999998</v>
      </c>
      <c r="E9" s="63">
        <f t="shared" si="0"/>
        <v>227001.01</v>
      </c>
      <c r="F9" s="63">
        <f t="shared" si="0"/>
        <v>130595.95</v>
      </c>
      <c r="G9" s="63">
        <f t="shared" si="0"/>
        <v>129134.92</v>
      </c>
      <c r="H9" s="63">
        <f t="shared" si="0"/>
        <v>22080.699999999997</v>
      </c>
      <c r="I9" s="8"/>
      <c r="J9" s="8"/>
      <c r="K9" s="8"/>
      <c r="L9" s="8"/>
    </row>
    <row r="10" spans="1:12" s="11" customFormat="1" ht="12.75">
      <c r="A10" s="66" t="s">
        <v>151</v>
      </c>
      <c r="B10" s="64" t="s">
        <v>152</v>
      </c>
      <c r="C10" s="65">
        <f aca="true" t="shared" si="1" ref="C10:H10">+C11+C12+C15+C13+C14+C16+C168</f>
        <v>0</v>
      </c>
      <c r="D10" s="65">
        <f t="shared" si="1"/>
        <v>213066.25999999998</v>
      </c>
      <c r="E10" s="65">
        <f t="shared" si="1"/>
        <v>227001.01</v>
      </c>
      <c r="F10" s="65">
        <f t="shared" si="1"/>
        <v>130595.95</v>
      </c>
      <c r="G10" s="65">
        <f t="shared" si="1"/>
        <v>129134.92</v>
      </c>
      <c r="H10" s="65">
        <f t="shared" si="1"/>
        <v>22080.699999999997</v>
      </c>
      <c r="I10" s="8"/>
      <c r="J10" s="8"/>
      <c r="K10" s="8"/>
      <c r="L10" s="8"/>
    </row>
    <row r="11" spans="1:12" s="11" customFormat="1" ht="15" customHeight="1">
      <c r="A11" s="66" t="s">
        <v>153</v>
      </c>
      <c r="B11" s="64" t="s">
        <v>154</v>
      </c>
      <c r="C11" s="65">
        <f aca="true" t="shared" si="2" ref="C11:H11">+C28</f>
        <v>0</v>
      </c>
      <c r="D11" s="65">
        <f t="shared" si="2"/>
        <v>0</v>
      </c>
      <c r="E11" s="65">
        <f t="shared" si="2"/>
        <v>4422.82</v>
      </c>
      <c r="F11" s="65">
        <f t="shared" si="2"/>
        <v>2311.64</v>
      </c>
      <c r="G11" s="65">
        <f t="shared" si="2"/>
        <v>2286.45</v>
      </c>
      <c r="H11" s="65">
        <f t="shared" si="2"/>
        <v>394.1000000000001</v>
      </c>
      <c r="I11" s="8"/>
      <c r="J11" s="8"/>
      <c r="K11" s="8"/>
      <c r="L11" s="8"/>
    </row>
    <row r="12" spans="1:12" s="11" customFormat="1" ht="12.75" customHeight="1">
      <c r="A12" s="66" t="s">
        <v>155</v>
      </c>
      <c r="B12" s="64" t="s">
        <v>156</v>
      </c>
      <c r="C12" s="65">
        <f aca="true" t="shared" si="3" ref="C12:H12">+C41</f>
        <v>0</v>
      </c>
      <c r="D12" s="65">
        <f t="shared" si="3"/>
        <v>198281.25999999998</v>
      </c>
      <c r="E12" s="65">
        <f t="shared" si="3"/>
        <v>194341.58</v>
      </c>
      <c r="F12" s="65">
        <f t="shared" si="3"/>
        <v>105895.62</v>
      </c>
      <c r="G12" s="65">
        <f t="shared" si="3"/>
        <v>104541.04</v>
      </c>
      <c r="H12" s="65">
        <f t="shared" si="3"/>
        <v>18461.3</v>
      </c>
      <c r="I12" s="8"/>
      <c r="J12" s="8"/>
      <c r="K12" s="8"/>
      <c r="L12" s="8"/>
    </row>
    <row r="13" spans="1:12" s="11" customFormat="1" ht="12.75" customHeight="1">
      <c r="A13" s="66" t="s">
        <v>157</v>
      </c>
      <c r="B13" s="64" t="s">
        <v>158</v>
      </c>
      <c r="C13" s="65">
        <f aca="true" t="shared" si="4" ref="C13:H13">+C68</f>
        <v>0</v>
      </c>
      <c r="D13" s="65">
        <f t="shared" si="4"/>
        <v>0</v>
      </c>
      <c r="E13" s="65">
        <f t="shared" si="4"/>
        <v>0</v>
      </c>
      <c r="F13" s="65">
        <f t="shared" si="4"/>
        <v>0</v>
      </c>
      <c r="G13" s="65">
        <f t="shared" si="4"/>
        <v>0</v>
      </c>
      <c r="H13" s="65">
        <f t="shared" si="4"/>
        <v>0</v>
      </c>
      <c r="I13" s="8"/>
      <c r="J13" s="8"/>
      <c r="K13" s="8"/>
      <c r="L13" s="8"/>
    </row>
    <row r="14" spans="1:12" s="11" customFormat="1" ht="15.75" customHeight="1">
      <c r="A14" s="66" t="s">
        <v>357</v>
      </c>
      <c r="B14" s="64" t="s">
        <v>354</v>
      </c>
      <c r="C14" s="65">
        <f aca="true" t="shared" si="5" ref="C14:H14">C22</f>
        <v>0</v>
      </c>
      <c r="D14" s="65">
        <f t="shared" si="5"/>
        <v>14785</v>
      </c>
      <c r="E14" s="65">
        <f t="shared" si="5"/>
        <v>14785</v>
      </c>
      <c r="F14" s="65">
        <f t="shared" si="5"/>
        <v>14785</v>
      </c>
      <c r="G14" s="65">
        <f t="shared" si="5"/>
        <v>14784.04</v>
      </c>
      <c r="H14" s="65">
        <f t="shared" si="5"/>
        <v>2498.38</v>
      </c>
      <c r="I14" s="8"/>
      <c r="J14" s="8"/>
      <c r="K14" s="8"/>
      <c r="L14" s="8"/>
    </row>
    <row r="15" spans="1:12" s="11" customFormat="1" ht="12.75">
      <c r="A15" s="66" t="s">
        <v>159</v>
      </c>
      <c r="B15" s="64" t="s">
        <v>160</v>
      </c>
      <c r="C15" s="65">
        <f aca="true" t="shared" si="6" ref="C15:H15">+C23</f>
        <v>0</v>
      </c>
      <c r="D15" s="65">
        <f t="shared" si="6"/>
        <v>0</v>
      </c>
      <c r="E15" s="65">
        <f t="shared" si="6"/>
        <v>13451.61</v>
      </c>
      <c r="F15" s="65">
        <v>7603.69</v>
      </c>
      <c r="G15" s="65">
        <v>7603.69</v>
      </c>
      <c r="H15" s="65">
        <f t="shared" si="6"/>
        <v>741.78</v>
      </c>
      <c r="I15" s="8"/>
      <c r="J15" s="8"/>
      <c r="K15" s="8"/>
      <c r="L15" s="8"/>
    </row>
    <row r="16" spans="1:12" s="11" customFormat="1" ht="12.75">
      <c r="A16" s="66"/>
      <c r="B16" s="64" t="s">
        <v>363</v>
      </c>
      <c r="C16" s="65">
        <f aca="true" t="shared" si="7" ref="C16:H16">C71</f>
        <v>0</v>
      </c>
      <c r="D16" s="65">
        <f t="shared" si="7"/>
        <v>0</v>
      </c>
      <c r="E16" s="65">
        <f t="shared" si="7"/>
        <v>0</v>
      </c>
      <c r="F16" s="65">
        <f t="shared" si="7"/>
        <v>0</v>
      </c>
      <c r="G16" s="65">
        <f t="shared" si="7"/>
        <v>0</v>
      </c>
      <c r="H16" s="65">
        <f t="shared" si="7"/>
        <v>0</v>
      </c>
      <c r="I16" s="8"/>
      <c r="J16" s="8"/>
      <c r="K16" s="8"/>
      <c r="L16" s="8"/>
    </row>
    <row r="17" spans="1:12" s="11" customFormat="1" ht="12.75">
      <c r="A17" s="66" t="s">
        <v>161</v>
      </c>
      <c r="B17" s="64" t="s">
        <v>162</v>
      </c>
      <c r="C17" s="65">
        <f aca="true" t="shared" si="8" ref="C17:H17">+C18</f>
        <v>0</v>
      </c>
      <c r="D17" s="65">
        <f t="shared" si="8"/>
        <v>0</v>
      </c>
      <c r="E17" s="65">
        <f t="shared" si="8"/>
        <v>0</v>
      </c>
      <c r="F17" s="65">
        <f t="shared" si="8"/>
        <v>0</v>
      </c>
      <c r="G17" s="65">
        <f t="shared" si="8"/>
        <v>0</v>
      </c>
      <c r="H17" s="65">
        <f t="shared" si="8"/>
        <v>0</v>
      </c>
      <c r="I17" s="8"/>
      <c r="J17" s="8"/>
      <c r="K17" s="8"/>
      <c r="L17" s="8"/>
    </row>
    <row r="18" spans="1:12" s="11" customFormat="1" ht="12.75">
      <c r="A18" s="66" t="s">
        <v>163</v>
      </c>
      <c r="B18" s="64" t="s">
        <v>164</v>
      </c>
      <c r="C18" s="65">
        <f aca="true" t="shared" si="9" ref="C18:H18">+C24</f>
        <v>0</v>
      </c>
      <c r="D18" s="65">
        <f t="shared" si="9"/>
        <v>0</v>
      </c>
      <c r="E18" s="65">
        <f t="shared" si="9"/>
        <v>0</v>
      </c>
      <c r="F18" s="65">
        <f t="shared" si="9"/>
        <v>0</v>
      </c>
      <c r="G18" s="65">
        <f t="shared" si="9"/>
        <v>0</v>
      </c>
      <c r="H18" s="65">
        <f t="shared" si="9"/>
        <v>0</v>
      </c>
      <c r="I18" s="8"/>
      <c r="J18" s="8"/>
      <c r="K18" s="8"/>
      <c r="L18" s="8"/>
    </row>
    <row r="19" spans="1:12" s="11" customFormat="1" ht="25.5">
      <c r="A19" s="66"/>
      <c r="B19" s="116" t="s">
        <v>372</v>
      </c>
      <c r="C19" s="65">
        <f aca="true" t="shared" si="10" ref="C19:H19">C168+C182</f>
        <v>0</v>
      </c>
      <c r="D19" s="65">
        <f t="shared" si="10"/>
        <v>0</v>
      </c>
      <c r="E19" s="65">
        <f t="shared" si="10"/>
        <v>0</v>
      </c>
      <c r="F19" s="65">
        <f t="shared" si="10"/>
        <v>0</v>
      </c>
      <c r="G19" s="65">
        <f t="shared" si="10"/>
        <v>-80.30000000000001</v>
      </c>
      <c r="H19" s="65">
        <f t="shared" si="10"/>
        <v>-14.86</v>
      </c>
      <c r="I19" s="8"/>
      <c r="J19" s="8"/>
      <c r="K19" s="8"/>
      <c r="L19" s="8"/>
    </row>
    <row r="20" spans="1:12" s="11" customFormat="1" ht="12.75">
      <c r="A20" s="66" t="s">
        <v>165</v>
      </c>
      <c r="B20" s="64" t="s">
        <v>166</v>
      </c>
      <c r="C20" s="65">
        <f aca="true" t="shared" si="11" ref="C20:H20">+C21+C24</f>
        <v>0</v>
      </c>
      <c r="D20" s="65">
        <f t="shared" si="11"/>
        <v>213066.25999999998</v>
      </c>
      <c r="E20" s="65">
        <f t="shared" si="11"/>
        <v>227001.01</v>
      </c>
      <c r="F20" s="65">
        <f t="shared" si="11"/>
        <v>130096.87</v>
      </c>
      <c r="G20" s="65">
        <f t="shared" si="11"/>
        <v>128716.13999999998</v>
      </c>
      <c r="H20" s="65">
        <f t="shared" si="11"/>
        <v>22095.559999999998</v>
      </c>
      <c r="I20" s="8"/>
      <c r="J20" s="8"/>
      <c r="K20" s="8"/>
      <c r="L20" s="8"/>
    </row>
    <row r="21" spans="1:12" s="11" customFormat="1" ht="12.75">
      <c r="A21" s="66" t="s">
        <v>167</v>
      </c>
      <c r="B21" s="64" t="s">
        <v>152</v>
      </c>
      <c r="C21" s="65">
        <f aca="true" t="shared" si="12" ref="C21:H21">+C28+C41+C23+C68+C169+C71</f>
        <v>0</v>
      </c>
      <c r="D21" s="65">
        <f t="shared" si="12"/>
        <v>213066.25999999998</v>
      </c>
      <c r="E21" s="65">
        <f t="shared" si="12"/>
        <v>227001.01</v>
      </c>
      <c r="F21" s="65">
        <f t="shared" si="12"/>
        <v>130096.87</v>
      </c>
      <c r="G21" s="65">
        <f t="shared" si="12"/>
        <v>128716.13999999998</v>
      </c>
      <c r="H21" s="65">
        <f t="shared" si="12"/>
        <v>22095.559999999998</v>
      </c>
      <c r="I21" s="8"/>
      <c r="J21" s="8"/>
      <c r="K21" s="8"/>
      <c r="L21" s="8"/>
    </row>
    <row r="22" spans="1:12" s="11" customFormat="1" ht="25.5">
      <c r="A22" s="66" t="s">
        <v>357</v>
      </c>
      <c r="B22" s="64" t="s">
        <v>354</v>
      </c>
      <c r="C22" s="65">
        <f aca="true" t="shared" si="13" ref="C22:H22">C27</f>
        <v>0</v>
      </c>
      <c r="D22" s="65">
        <f t="shared" si="13"/>
        <v>14785</v>
      </c>
      <c r="E22" s="65">
        <f t="shared" si="13"/>
        <v>14785</v>
      </c>
      <c r="F22" s="65">
        <f t="shared" si="13"/>
        <v>14785</v>
      </c>
      <c r="G22" s="65">
        <f t="shared" si="13"/>
        <v>14784.04</v>
      </c>
      <c r="H22" s="65">
        <f t="shared" si="13"/>
        <v>2498.38</v>
      </c>
      <c r="I22" s="8"/>
      <c r="J22" s="8"/>
      <c r="K22" s="8"/>
      <c r="L22" s="8"/>
    </row>
    <row r="23" spans="1:12" s="11" customFormat="1" ht="12.75">
      <c r="A23" s="66" t="s">
        <v>168</v>
      </c>
      <c r="B23" s="64" t="s">
        <v>160</v>
      </c>
      <c r="C23" s="65">
        <f aca="true" t="shared" si="14" ref="C23:H23">+C176</f>
        <v>0</v>
      </c>
      <c r="D23" s="65">
        <f t="shared" si="14"/>
        <v>0</v>
      </c>
      <c r="E23" s="65">
        <f t="shared" si="14"/>
        <v>13451.61</v>
      </c>
      <c r="F23" s="65">
        <f t="shared" si="14"/>
        <v>7104.61</v>
      </c>
      <c r="G23" s="65">
        <f t="shared" si="14"/>
        <v>7104.61</v>
      </c>
      <c r="H23" s="65">
        <f t="shared" si="14"/>
        <v>741.78</v>
      </c>
      <c r="I23" s="8"/>
      <c r="J23" s="8"/>
      <c r="K23" s="8"/>
      <c r="L23" s="8"/>
    </row>
    <row r="24" spans="1:12" s="11" customFormat="1" ht="12.75">
      <c r="A24" s="66" t="s">
        <v>169</v>
      </c>
      <c r="B24" s="64" t="s">
        <v>162</v>
      </c>
      <c r="C24" s="65">
        <f aca="true" t="shared" si="15" ref="C24:H24">+C73</f>
        <v>0</v>
      </c>
      <c r="D24" s="65">
        <f t="shared" si="15"/>
        <v>0</v>
      </c>
      <c r="E24" s="65">
        <f t="shared" si="15"/>
        <v>0</v>
      </c>
      <c r="F24" s="65">
        <f t="shared" si="15"/>
        <v>0</v>
      </c>
      <c r="G24" s="65">
        <f t="shared" si="15"/>
        <v>0</v>
      </c>
      <c r="H24" s="65">
        <f t="shared" si="15"/>
        <v>0</v>
      </c>
      <c r="I24" s="8"/>
      <c r="J24" s="8"/>
      <c r="K24" s="8"/>
      <c r="L24" s="8"/>
    </row>
    <row r="25" spans="1:12" s="11" customFormat="1" ht="12.75">
      <c r="A25" s="66" t="s">
        <v>170</v>
      </c>
      <c r="B25" s="64" t="s">
        <v>171</v>
      </c>
      <c r="C25" s="65">
        <f aca="true" t="shared" si="16" ref="C25:H25">+C26+C73+C168</f>
        <v>0</v>
      </c>
      <c r="D25" s="65">
        <f t="shared" si="16"/>
        <v>213066.25999999998</v>
      </c>
      <c r="E25" s="65">
        <f t="shared" si="16"/>
        <v>213549.4</v>
      </c>
      <c r="F25" s="65">
        <f t="shared" si="16"/>
        <v>122992.26</v>
      </c>
      <c r="G25" s="65">
        <f t="shared" si="16"/>
        <v>121531.23</v>
      </c>
      <c r="H25" s="65">
        <f t="shared" si="16"/>
        <v>21338.92</v>
      </c>
      <c r="I25" s="8"/>
      <c r="J25" s="8"/>
      <c r="K25" s="8"/>
      <c r="L25" s="8"/>
    </row>
    <row r="26" spans="1:12" s="11" customFormat="1" ht="12.75">
      <c r="A26" s="66" t="s">
        <v>172</v>
      </c>
      <c r="B26" s="64" t="s">
        <v>152</v>
      </c>
      <c r="C26" s="65">
        <f aca="true" t="shared" si="17" ref="C26:H26">+C28+C41+C68+C169+C71</f>
        <v>0</v>
      </c>
      <c r="D26" s="65">
        <f t="shared" si="17"/>
        <v>213066.25999999998</v>
      </c>
      <c r="E26" s="65">
        <f t="shared" si="17"/>
        <v>213549.4</v>
      </c>
      <c r="F26" s="65">
        <f t="shared" si="17"/>
        <v>122992.26</v>
      </c>
      <c r="G26" s="65">
        <f t="shared" si="17"/>
        <v>121611.53</v>
      </c>
      <c r="H26" s="65">
        <f t="shared" si="17"/>
        <v>21353.78</v>
      </c>
      <c r="I26" s="8"/>
      <c r="J26" s="8"/>
      <c r="K26" s="8"/>
      <c r="L26" s="8"/>
    </row>
    <row r="27" spans="1:12" ht="25.5">
      <c r="A27" s="66" t="s">
        <v>357</v>
      </c>
      <c r="B27" s="64" t="s">
        <v>354</v>
      </c>
      <c r="C27" s="65">
        <f aca="true" t="shared" si="18" ref="C27:H27">C169</f>
        <v>0</v>
      </c>
      <c r="D27" s="65">
        <f t="shared" si="18"/>
        <v>14785</v>
      </c>
      <c r="E27" s="65">
        <f t="shared" si="18"/>
        <v>14785</v>
      </c>
      <c r="F27" s="65">
        <f t="shared" si="18"/>
        <v>14785</v>
      </c>
      <c r="G27" s="65">
        <f t="shared" si="18"/>
        <v>14784.04</v>
      </c>
      <c r="H27" s="65">
        <f t="shared" si="18"/>
        <v>2498.38</v>
      </c>
      <c r="I27" s="8"/>
      <c r="J27" s="8"/>
      <c r="K27" s="8"/>
      <c r="L27" s="8"/>
    </row>
    <row r="28" spans="1:12" ht="12.75" customHeight="1">
      <c r="A28" s="66" t="s">
        <v>173</v>
      </c>
      <c r="B28" s="64" t="s">
        <v>154</v>
      </c>
      <c r="C28" s="65">
        <f aca="true" t="shared" si="19" ref="C28:H28">+C29+C35</f>
        <v>0</v>
      </c>
      <c r="D28" s="65">
        <f t="shared" si="19"/>
        <v>0</v>
      </c>
      <c r="E28" s="65">
        <f t="shared" si="19"/>
        <v>4422.82</v>
      </c>
      <c r="F28" s="65">
        <f t="shared" si="19"/>
        <v>2311.64</v>
      </c>
      <c r="G28" s="65">
        <f t="shared" si="19"/>
        <v>2286.45</v>
      </c>
      <c r="H28" s="65">
        <f t="shared" si="19"/>
        <v>394.1000000000001</v>
      </c>
      <c r="I28" s="8"/>
      <c r="J28" s="8"/>
      <c r="K28" s="8"/>
      <c r="L28" s="8"/>
    </row>
    <row r="29" spans="1:12" ht="12.75">
      <c r="A29" s="66" t="s">
        <v>174</v>
      </c>
      <c r="B29" s="64" t="s">
        <v>175</v>
      </c>
      <c r="C29" s="65">
        <f aca="true" t="shared" si="20" ref="C29:H29">C30+C31+C32+C33+C34</f>
        <v>0</v>
      </c>
      <c r="D29" s="65">
        <f t="shared" si="20"/>
        <v>0</v>
      </c>
      <c r="E29" s="65">
        <f t="shared" si="20"/>
        <v>3675.88</v>
      </c>
      <c r="F29" s="65">
        <f t="shared" si="20"/>
        <v>1885.24</v>
      </c>
      <c r="G29" s="65">
        <f t="shared" si="20"/>
        <v>1869.53</v>
      </c>
      <c r="H29" s="65">
        <f t="shared" si="20"/>
        <v>321.86000000000007</v>
      </c>
      <c r="I29" s="8"/>
      <c r="J29" s="8"/>
      <c r="K29" s="8"/>
      <c r="L29" s="8"/>
    </row>
    <row r="30" spans="1:12" ht="12.75">
      <c r="A30" s="76" t="s">
        <v>176</v>
      </c>
      <c r="B30" s="67" t="s">
        <v>339</v>
      </c>
      <c r="C30" s="68"/>
      <c r="D30" s="10"/>
      <c r="E30" s="10">
        <v>3613.88</v>
      </c>
      <c r="F30" s="10">
        <v>1859.44</v>
      </c>
      <c r="G30" s="7">
        <f>603.59+314.31+306.27+308.69+317.35</f>
        <v>1850.21</v>
      </c>
      <c r="H30" s="7">
        <v>317.35</v>
      </c>
      <c r="I30" s="8"/>
      <c r="J30" s="8"/>
      <c r="K30" s="8"/>
      <c r="L30" s="8"/>
    </row>
    <row r="31" spans="1:12" ht="12" customHeight="1">
      <c r="A31" s="76" t="s">
        <v>177</v>
      </c>
      <c r="B31" s="69" t="s">
        <v>178</v>
      </c>
      <c r="C31" s="68"/>
      <c r="D31" s="10"/>
      <c r="E31" s="10">
        <v>22</v>
      </c>
      <c r="F31" s="10">
        <f>5+5.7</f>
        <v>10.7</v>
      </c>
      <c r="G31" s="7">
        <f>1.43+3.4+1.43+1.08+1.61</f>
        <v>8.95</v>
      </c>
      <c r="H31" s="7">
        <v>1.61</v>
      </c>
      <c r="I31" s="8"/>
      <c r="J31" s="8"/>
      <c r="K31" s="8"/>
      <c r="L31" s="8"/>
    </row>
    <row r="32" spans="1:12" ht="13.5" customHeight="1">
      <c r="A32" s="76" t="s">
        <v>179</v>
      </c>
      <c r="B32" s="69" t="s">
        <v>180</v>
      </c>
      <c r="C32" s="68"/>
      <c r="D32" s="10"/>
      <c r="E32" s="10">
        <v>1</v>
      </c>
      <c r="F32" s="10">
        <v>0.6</v>
      </c>
      <c r="G32" s="7">
        <f>0.15+0.04+0.3+0.1</f>
        <v>0.59</v>
      </c>
      <c r="H32" s="7">
        <v>0.1</v>
      </c>
      <c r="I32" s="8"/>
      <c r="J32" s="8"/>
      <c r="K32" s="8"/>
      <c r="L32" s="8"/>
    </row>
    <row r="33" spans="1:12" ht="12.75">
      <c r="A33" s="76" t="s">
        <v>353</v>
      </c>
      <c r="B33" s="69" t="s">
        <v>181</v>
      </c>
      <c r="C33" s="68"/>
      <c r="D33" s="10"/>
      <c r="E33" s="10"/>
      <c r="F33" s="10"/>
      <c r="G33" s="7"/>
      <c r="H33" s="7"/>
      <c r="I33" s="8"/>
      <c r="J33" s="8"/>
      <c r="K33" s="8"/>
      <c r="L33" s="8"/>
    </row>
    <row r="34" spans="1:12" ht="12.75">
      <c r="A34" s="76" t="s">
        <v>182</v>
      </c>
      <c r="B34" s="69" t="s">
        <v>373</v>
      </c>
      <c r="C34" s="68"/>
      <c r="D34" s="10"/>
      <c r="E34" s="10">
        <v>39</v>
      </c>
      <c r="F34" s="10">
        <f>2+12.5</f>
        <v>14.5</v>
      </c>
      <c r="G34" s="7">
        <f>0.97+0.18+0.91+4.92+2.8</f>
        <v>9.780000000000001</v>
      </c>
      <c r="H34" s="7">
        <v>2.8</v>
      </c>
      <c r="I34" s="8"/>
      <c r="J34" s="8"/>
      <c r="K34" s="8"/>
      <c r="L34" s="8"/>
    </row>
    <row r="35" spans="1:12" ht="12.75">
      <c r="A35" s="66" t="s">
        <v>183</v>
      </c>
      <c r="B35" s="64" t="s">
        <v>184</v>
      </c>
      <c r="C35" s="65">
        <f aca="true" t="shared" si="21" ref="C35:H35">+C36+C37+C38+C39+C40</f>
        <v>0</v>
      </c>
      <c r="D35" s="65">
        <f t="shared" si="21"/>
        <v>0</v>
      </c>
      <c r="E35" s="65">
        <f t="shared" si="21"/>
        <v>746.94</v>
      </c>
      <c r="F35" s="65">
        <f t="shared" si="21"/>
        <v>426.4</v>
      </c>
      <c r="G35" s="65">
        <f t="shared" si="21"/>
        <v>416.9200000000001</v>
      </c>
      <c r="H35" s="65">
        <f t="shared" si="21"/>
        <v>72.24</v>
      </c>
      <c r="I35" s="8"/>
      <c r="J35" s="8"/>
      <c r="K35" s="8"/>
      <c r="L35" s="8"/>
    </row>
    <row r="36" spans="1:12" ht="12.75">
      <c r="A36" s="76" t="s">
        <v>185</v>
      </c>
      <c r="B36" s="69" t="s">
        <v>186</v>
      </c>
      <c r="C36" s="68"/>
      <c r="D36" s="10"/>
      <c r="E36" s="10">
        <v>520.74</v>
      </c>
      <c r="F36" s="10">
        <f>147+153.92</f>
        <v>300.91999999999996</v>
      </c>
      <c r="G36" s="7">
        <f>96.22+50.52+48.87+49.27+50.7</f>
        <v>295.58000000000004</v>
      </c>
      <c r="H36" s="7">
        <v>50.7</v>
      </c>
      <c r="I36" s="8"/>
      <c r="J36" s="8"/>
      <c r="K36" s="8"/>
      <c r="L36" s="8"/>
    </row>
    <row r="37" spans="1:12" s="11" customFormat="1" ht="12.75">
      <c r="A37" s="76" t="s">
        <v>187</v>
      </c>
      <c r="B37" s="69" t="s">
        <v>188</v>
      </c>
      <c r="C37" s="68"/>
      <c r="D37" s="10"/>
      <c r="E37" s="10">
        <v>16.47</v>
      </c>
      <c r="F37" s="10">
        <f>4.7+4.87</f>
        <v>9.57</v>
      </c>
      <c r="G37" s="7">
        <f>3.03+1.57+1.54+1.57+1.6</f>
        <v>9.31</v>
      </c>
      <c r="H37" s="7">
        <v>1.6</v>
      </c>
      <c r="I37" s="8"/>
      <c r="J37" s="8"/>
      <c r="K37" s="8"/>
      <c r="L37" s="8"/>
    </row>
    <row r="38" spans="1:12" s="11" customFormat="1" ht="12.75">
      <c r="A38" s="76" t="s">
        <v>189</v>
      </c>
      <c r="B38" s="69" t="s">
        <v>190</v>
      </c>
      <c r="C38" s="68"/>
      <c r="D38" s="10"/>
      <c r="E38" s="10">
        <v>171.24</v>
      </c>
      <c r="F38" s="10">
        <f>48.5+50.66</f>
        <v>99.16</v>
      </c>
      <c r="G38" s="7">
        <f>31.59+16.56+16.04+16.37+16.73</f>
        <v>97.29</v>
      </c>
      <c r="H38" s="7">
        <v>16.73</v>
      </c>
      <c r="I38" s="8"/>
      <c r="J38" s="8"/>
      <c r="K38" s="8"/>
      <c r="L38" s="8"/>
    </row>
    <row r="39" spans="1:12" ht="12.75">
      <c r="A39" s="76" t="s">
        <v>191</v>
      </c>
      <c r="B39" s="70" t="s">
        <v>192</v>
      </c>
      <c r="C39" s="68"/>
      <c r="D39" s="10"/>
      <c r="E39" s="10">
        <v>5.57</v>
      </c>
      <c r="F39" s="10">
        <f>1.5+1.56</f>
        <v>3.06</v>
      </c>
      <c r="G39" s="7">
        <f>0.92+0.48+0.46+0.47+0.49</f>
        <v>2.8200000000000003</v>
      </c>
      <c r="H39" s="7">
        <v>0.49</v>
      </c>
      <c r="I39" s="8"/>
      <c r="J39" s="8"/>
      <c r="K39" s="8"/>
      <c r="L39" s="8"/>
    </row>
    <row r="40" spans="1:12" ht="12.75">
      <c r="A40" s="76" t="s">
        <v>193</v>
      </c>
      <c r="B40" s="70" t="s">
        <v>194</v>
      </c>
      <c r="C40" s="68"/>
      <c r="D40" s="10"/>
      <c r="E40" s="10">
        <v>32.92</v>
      </c>
      <c r="F40" s="10">
        <v>13.69</v>
      </c>
      <c r="G40" s="10">
        <f>1.25+2.67+2.61+2.67+2.72</f>
        <v>11.92</v>
      </c>
      <c r="H40" s="10">
        <v>2.72</v>
      </c>
      <c r="I40" s="8"/>
      <c r="J40" s="8"/>
      <c r="K40" s="8"/>
      <c r="L40" s="8"/>
    </row>
    <row r="41" spans="1:12" ht="12.75">
      <c r="A41" s="66" t="s">
        <v>195</v>
      </c>
      <c r="B41" s="64" t="s">
        <v>156</v>
      </c>
      <c r="C41" s="65">
        <f aca="true" t="shared" si="22" ref="C41:H41">+C42+C56+C55+C58+C61+C63+C64+C65+C62</f>
        <v>0</v>
      </c>
      <c r="D41" s="65">
        <f t="shared" si="22"/>
        <v>198281.25999999998</v>
      </c>
      <c r="E41" s="65">
        <f t="shared" si="22"/>
        <v>194341.58</v>
      </c>
      <c r="F41" s="65">
        <f t="shared" si="22"/>
        <v>105895.62</v>
      </c>
      <c r="G41" s="65">
        <f t="shared" si="22"/>
        <v>104541.04</v>
      </c>
      <c r="H41" s="65">
        <f t="shared" si="22"/>
        <v>18461.3</v>
      </c>
      <c r="I41" s="8"/>
      <c r="J41" s="8"/>
      <c r="K41" s="8"/>
      <c r="L41" s="8"/>
    </row>
    <row r="42" spans="1:12" ht="12.75">
      <c r="A42" s="66" t="s">
        <v>196</v>
      </c>
      <c r="B42" s="64" t="s">
        <v>197</v>
      </c>
      <c r="C42" s="65">
        <f aca="true" t="shared" si="23" ref="C42:H42">+C43+C44+C45+C46+C47+C48+C49+C50+C52</f>
        <v>0</v>
      </c>
      <c r="D42" s="65">
        <f t="shared" si="23"/>
        <v>198281.25999999998</v>
      </c>
      <c r="E42" s="65">
        <f t="shared" si="23"/>
        <v>194301.58</v>
      </c>
      <c r="F42" s="65">
        <f t="shared" si="23"/>
        <v>105878.84000000001</v>
      </c>
      <c r="G42" s="65">
        <f t="shared" si="23"/>
        <v>104524.81</v>
      </c>
      <c r="H42" s="65">
        <f t="shared" si="23"/>
        <v>18458.18</v>
      </c>
      <c r="I42" s="8"/>
      <c r="J42" s="8"/>
      <c r="K42" s="8"/>
      <c r="L42" s="8"/>
    </row>
    <row r="43" spans="1:12" ht="12.75">
      <c r="A43" s="76" t="s">
        <v>198</v>
      </c>
      <c r="B43" s="69" t="s">
        <v>199</v>
      </c>
      <c r="C43" s="68"/>
      <c r="D43" s="10"/>
      <c r="E43" s="10">
        <v>16</v>
      </c>
      <c r="F43" s="10">
        <f>3+2.5</f>
        <v>5.5</v>
      </c>
      <c r="G43" s="7">
        <f>1.71+1.29+1+1.49</f>
        <v>5.49</v>
      </c>
      <c r="H43" s="7"/>
      <c r="I43" s="8"/>
      <c r="J43" s="8"/>
      <c r="K43" s="8"/>
      <c r="L43" s="8"/>
    </row>
    <row r="44" spans="1:12" ht="12.75">
      <c r="A44" s="76" t="s">
        <v>200</v>
      </c>
      <c r="B44" s="69" t="s">
        <v>201</v>
      </c>
      <c r="C44" s="68"/>
      <c r="D44" s="10"/>
      <c r="E44" s="10">
        <v>3</v>
      </c>
      <c r="F44" s="10">
        <f>1+0.5</f>
        <v>1.5</v>
      </c>
      <c r="G44" s="7">
        <f>1+0.19+0.29</f>
        <v>1.48</v>
      </c>
      <c r="H44" s="7"/>
      <c r="I44" s="8"/>
      <c r="J44" s="8"/>
      <c r="K44" s="8"/>
      <c r="L44" s="8"/>
    </row>
    <row r="45" spans="1:12" ht="12.75">
      <c r="A45" s="76" t="s">
        <v>202</v>
      </c>
      <c r="B45" s="69" t="s">
        <v>203</v>
      </c>
      <c r="C45" s="68"/>
      <c r="D45" s="10"/>
      <c r="E45" s="10">
        <v>50</v>
      </c>
      <c r="F45" s="10">
        <f>22.68+12</f>
        <v>34.68</v>
      </c>
      <c r="G45" s="7">
        <f>13.54+8.05+6.82+4.11+1.96</f>
        <v>34.480000000000004</v>
      </c>
      <c r="H45" s="7">
        <v>1.96</v>
      </c>
      <c r="I45" s="8"/>
      <c r="J45" s="8"/>
      <c r="K45" s="8"/>
      <c r="L45" s="8"/>
    </row>
    <row r="46" spans="1:12" s="11" customFormat="1" ht="12.75">
      <c r="A46" s="76" t="s">
        <v>204</v>
      </c>
      <c r="B46" s="69" t="s">
        <v>205</v>
      </c>
      <c r="C46" s="68"/>
      <c r="D46" s="10"/>
      <c r="E46" s="10">
        <v>5</v>
      </c>
      <c r="F46" s="10">
        <f>1.3+1.1</f>
        <v>2.4000000000000004</v>
      </c>
      <c r="G46" s="7">
        <f>0.91+0.35+0.53+0.15+0.42</f>
        <v>2.36</v>
      </c>
      <c r="H46" s="7">
        <v>0.42</v>
      </c>
      <c r="I46" s="8"/>
      <c r="J46" s="8"/>
      <c r="K46" s="8"/>
      <c r="L46" s="8"/>
    </row>
    <row r="47" spans="1:12" s="111" customFormat="1" ht="12.75">
      <c r="A47" s="76" t="s">
        <v>206</v>
      </c>
      <c r="B47" s="69" t="s">
        <v>207</v>
      </c>
      <c r="C47" s="68"/>
      <c r="D47" s="10"/>
      <c r="E47" s="10">
        <v>13</v>
      </c>
      <c r="F47" s="10">
        <f>4</f>
        <v>4</v>
      </c>
      <c r="G47" s="7">
        <f>2+2</f>
        <v>4</v>
      </c>
      <c r="H47" s="7"/>
      <c r="I47" s="8"/>
      <c r="J47" s="8"/>
      <c r="K47" s="8"/>
      <c r="L47" s="8"/>
    </row>
    <row r="48" spans="1:12" ht="12.75">
      <c r="A48" s="76" t="s">
        <v>208</v>
      </c>
      <c r="B48" s="69" t="s">
        <v>209</v>
      </c>
      <c r="C48" s="68"/>
      <c r="D48" s="10"/>
      <c r="E48" s="10">
        <v>0</v>
      </c>
      <c r="F48" s="10">
        <v>0</v>
      </c>
      <c r="G48" s="7">
        <v>0</v>
      </c>
      <c r="H48" s="7"/>
      <c r="I48" s="8"/>
      <c r="J48" s="8"/>
      <c r="K48" s="8"/>
      <c r="L48" s="8"/>
    </row>
    <row r="49" spans="1:12" s="11" customFormat="1" ht="12.75">
      <c r="A49" s="76" t="s">
        <v>210</v>
      </c>
      <c r="B49" s="69" t="s">
        <v>211</v>
      </c>
      <c r="C49" s="68"/>
      <c r="D49" s="10"/>
      <c r="E49" s="10">
        <v>44</v>
      </c>
      <c r="F49" s="10">
        <v>20.99</v>
      </c>
      <c r="G49" s="10">
        <f>5.46+3.77+3.61+3.69+3.63</f>
        <v>20.16</v>
      </c>
      <c r="H49" s="10">
        <v>3.63</v>
      </c>
      <c r="I49" s="8"/>
      <c r="J49" s="8"/>
      <c r="K49" s="8"/>
      <c r="L49" s="8"/>
    </row>
    <row r="50" spans="1:12" s="11" customFormat="1" ht="26.25" customHeight="1">
      <c r="A50" s="66" t="s">
        <v>212</v>
      </c>
      <c r="B50" s="64" t="s">
        <v>213</v>
      </c>
      <c r="C50" s="71">
        <f aca="true" t="shared" si="24" ref="C50:H50">+C51+C84</f>
        <v>0</v>
      </c>
      <c r="D50" s="71">
        <f t="shared" si="24"/>
        <v>198281.25999999998</v>
      </c>
      <c r="E50" s="71">
        <f t="shared" si="24"/>
        <v>193984.58</v>
      </c>
      <c r="F50" s="71">
        <f t="shared" si="24"/>
        <v>105730.83</v>
      </c>
      <c r="G50" s="71">
        <f t="shared" si="24"/>
        <v>104391.09999999999</v>
      </c>
      <c r="H50" s="71">
        <f t="shared" si="24"/>
        <v>18441.100000000002</v>
      </c>
      <c r="I50" s="8"/>
      <c r="J50" s="8"/>
      <c r="K50" s="8"/>
      <c r="L50" s="8"/>
    </row>
    <row r="51" spans="1:12" s="11" customFormat="1" ht="14.25" customHeight="1">
      <c r="A51" s="108"/>
      <c r="B51" s="72" t="s">
        <v>214</v>
      </c>
      <c r="C51" s="73"/>
      <c r="D51" s="10"/>
      <c r="E51" s="10">
        <v>60</v>
      </c>
      <c r="F51" s="10">
        <f>13.7+14.5</f>
        <v>28.2</v>
      </c>
      <c r="G51" s="7">
        <f>6.69+4.64+4.72+7.9+4.25</f>
        <v>28.200000000000003</v>
      </c>
      <c r="H51" s="7">
        <v>4.25</v>
      </c>
      <c r="I51" s="8"/>
      <c r="J51" s="8"/>
      <c r="K51" s="8"/>
      <c r="L51" s="8"/>
    </row>
    <row r="52" spans="1:12" ht="12.75">
      <c r="A52" s="76" t="s">
        <v>215</v>
      </c>
      <c r="B52" s="69" t="s">
        <v>216</v>
      </c>
      <c r="C52" s="68"/>
      <c r="D52" s="10"/>
      <c r="E52" s="10">
        <v>186</v>
      </c>
      <c r="F52" s="10">
        <f>34+46.44-1.5</f>
        <v>78.94</v>
      </c>
      <c r="G52" s="10">
        <f>21.86+12.14+11.79+8.88+11.07</f>
        <v>65.74000000000001</v>
      </c>
      <c r="H52" s="10">
        <v>11.07</v>
      </c>
      <c r="I52" s="8"/>
      <c r="J52" s="8"/>
      <c r="K52" s="8"/>
      <c r="L52" s="8"/>
    </row>
    <row r="53" spans="1:12" s="11" customFormat="1" ht="12.75">
      <c r="A53" s="76"/>
      <c r="B53" s="69" t="s">
        <v>217</v>
      </c>
      <c r="C53" s="68"/>
      <c r="D53" s="10"/>
      <c r="E53" s="10"/>
      <c r="F53" s="10"/>
      <c r="G53" s="10"/>
      <c r="H53" s="10"/>
      <c r="I53" s="8"/>
      <c r="J53" s="8"/>
      <c r="K53" s="8"/>
      <c r="L53" s="8"/>
    </row>
    <row r="54" spans="1:12" s="11" customFormat="1" ht="25.5">
      <c r="A54" s="76"/>
      <c r="B54" s="69" t="s">
        <v>374</v>
      </c>
      <c r="C54" s="68"/>
      <c r="D54" s="10"/>
      <c r="E54" s="10">
        <v>38</v>
      </c>
      <c r="F54" s="10">
        <f>8.44</f>
        <v>8.44</v>
      </c>
      <c r="G54" s="10">
        <v>3.52</v>
      </c>
      <c r="H54" s="10"/>
      <c r="I54" s="8"/>
      <c r="J54" s="8"/>
      <c r="K54" s="8"/>
      <c r="L54" s="8"/>
    </row>
    <row r="55" spans="1:12" ht="12.75">
      <c r="A55" s="66" t="s">
        <v>218</v>
      </c>
      <c r="B55" s="69" t="s">
        <v>219</v>
      </c>
      <c r="C55" s="68"/>
      <c r="D55" s="10"/>
      <c r="E55" s="10"/>
      <c r="F55" s="10"/>
      <c r="G55" s="10"/>
      <c r="H55" s="10"/>
      <c r="I55" s="8"/>
      <c r="J55" s="8"/>
      <c r="K55" s="8"/>
      <c r="L55" s="8"/>
    </row>
    <row r="56" spans="1:12" ht="12.75">
      <c r="A56" s="66" t="s">
        <v>220</v>
      </c>
      <c r="B56" s="64" t="s">
        <v>221</v>
      </c>
      <c r="C56" s="74">
        <f aca="true" t="shared" si="25" ref="C56:H56">+C57</f>
        <v>0</v>
      </c>
      <c r="D56" s="74">
        <f t="shared" si="25"/>
        <v>0</v>
      </c>
      <c r="E56" s="74">
        <f t="shared" si="25"/>
        <v>23</v>
      </c>
      <c r="F56" s="74">
        <f t="shared" si="25"/>
        <v>8</v>
      </c>
      <c r="G56" s="74">
        <f t="shared" si="25"/>
        <v>7.97</v>
      </c>
      <c r="H56" s="74">
        <f t="shared" si="25"/>
        <v>1.87</v>
      </c>
      <c r="I56" s="8"/>
      <c r="J56" s="8"/>
      <c r="K56" s="8"/>
      <c r="L56" s="8"/>
    </row>
    <row r="57" spans="1:12" ht="12.75">
      <c r="A57" s="76" t="s">
        <v>222</v>
      </c>
      <c r="B57" s="69" t="s">
        <v>223</v>
      </c>
      <c r="C57" s="68"/>
      <c r="D57" s="10"/>
      <c r="E57" s="10">
        <v>23</v>
      </c>
      <c r="F57" s="10">
        <f>6+2</f>
        <v>8</v>
      </c>
      <c r="G57" s="10">
        <f>6+0.1+1.87</f>
        <v>7.97</v>
      </c>
      <c r="H57" s="10">
        <v>1.87</v>
      </c>
      <c r="I57" s="8"/>
      <c r="J57" s="8"/>
      <c r="K57" s="8"/>
      <c r="L57" s="8"/>
    </row>
    <row r="58" spans="1:12" ht="12.75">
      <c r="A58" s="66" t="s">
        <v>224</v>
      </c>
      <c r="B58" s="64" t="s">
        <v>225</v>
      </c>
      <c r="C58" s="65">
        <f aca="true" t="shared" si="26" ref="C58:H58">+C59+C60</f>
        <v>0</v>
      </c>
      <c r="D58" s="65">
        <f t="shared" si="26"/>
        <v>0</v>
      </c>
      <c r="E58" s="65">
        <f t="shared" si="26"/>
        <v>10</v>
      </c>
      <c r="F58" s="65">
        <f t="shared" si="26"/>
        <v>5.4</v>
      </c>
      <c r="G58" s="65">
        <f t="shared" si="26"/>
        <v>5.140000000000001</v>
      </c>
      <c r="H58" s="65">
        <f t="shared" si="26"/>
        <v>1.25</v>
      </c>
      <c r="I58" s="8"/>
      <c r="J58" s="8"/>
      <c r="K58" s="8"/>
      <c r="L58" s="8"/>
    </row>
    <row r="59" spans="1:12" ht="12.75">
      <c r="A59" s="66" t="s">
        <v>226</v>
      </c>
      <c r="B59" s="69" t="s">
        <v>227</v>
      </c>
      <c r="C59" s="68"/>
      <c r="D59" s="10"/>
      <c r="E59" s="10">
        <v>10</v>
      </c>
      <c r="F59" s="10">
        <f>0.9+3+1.5</f>
        <v>5.4</v>
      </c>
      <c r="G59" s="7">
        <f>0.45+0.45+2.99+1.25</f>
        <v>5.140000000000001</v>
      </c>
      <c r="H59" s="7">
        <v>1.25</v>
      </c>
      <c r="I59" s="8"/>
      <c r="J59" s="8"/>
      <c r="K59" s="8"/>
      <c r="L59" s="8"/>
    </row>
    <row r="60" spans="1:12" ht="12.75">
      <c r="A60" s="66" t="s">
        <v>228</v>
      </c>
      <c r="B60" s="69" t="s">
        <v>229</v>
      </c>
      <c r="C60" s="68"/>
      <c r="D60" s="10"/>
      <c r="E60" s="10"/>
      <c r="F60" s="10"/>
      <c r="G60" s="7"/>
      <c r="H60" s="7"/>
      <c r="I60" s="8"/>
      <c r="J60" s="8"/>
      <c r="K60" s="8"/>
      <c r="L60" s="8"/>
    </row>
    <row r="61" spans="1:12" s="11" customFormat="1" ht="12.75">
      <c r="A61" s="76" t="s">
        <v>230</v>
      </c>
      <c r="B61" s="69" t="s">
        <v>231</v>
      </c>
      <c r="C61" s="68"/>
      <c r="D61" s="10"/>
      <c r="E61" s="10">
        <v>3</v>
      </c>
      <c r="F61" s="10">
        <v>1.51</v>
      </c>
      <c r="G61" s="7">
        <f>1+0.5</f>
        <v>1.5</v>
      </c>
      <c r="H61" s="7"/>
      <c r="I61" s="8"/>
      <c r="J61" s="8"/>
      <c r="K61" s="8"/>
      <c r="L61" s="8"/>
    </row>
    <row r="62" spans="1:12" ht="12.75">
      <c r="A62" s="76" t="s">
        <v>232</v>
      </c>
      <c r="B62" s="67" t="s">
        <v>233</v>
      </c>
      <c r="C62" s="68"/>
      <c r="D62" s="10"/>
      <c r="E62" s="10"/>
      <c r="F62" s="10"/>
      <c r="G62" s="7"/>
      <c r="H62" s="7"/>
      <c r="I62" s="8"/>
      <c r="J62" s="8"/>
      <c r="K62" s="8"/>
      <c r="L62" s="8"/>
    </row>
    <row r="63" spans="1:12" ht="13.5" customHeight="1">
      <c r="A63" s="76" t="s">
        <v>234</v>
      </c>
      <c r="B63" s="69" t="s">
        <v>235</v>
      </c>
      <c r="C63" s="68"/>
      <c r="D63" s="10"/>
      <c r="E63" s="10"/>
      <c r="F63" s="10"/>
      <c r="G63" s="7"/>
      <c r="H63" s="7"/>
      <c r="I63" s="8"/>
      <c r="J63" s="8"/>
      <c r="K63" s="8"/>
      <c r="L63" s="8"/>
    </row>
    <row r="64" spans="1:12" s="11" customFormat="1" ht="12.75">
      <c r="A64" s="76" t="s">
        <v>236</v>
      </c>
      <c r="B64" s="69" t="s">
        <v>237</v>
      </c>
      <c r="C64" s="68"/>
      <c r="D64" s="10"/>
      <c r="E64" s="10">
        <v>1</v>
      </c>
      <c r="F64" s="10">
        <f>1</f>
        <v>1</v>
      </c>
      <c r="G64" s="10">
        <f>1</f>
        <v>1</v>
      </c>
      <c r="H64" s="10"/>
      <c r="I64" s="8"/>
      <c r="J64" s="8"/>
      <c r="K64" s="8"/>
      <c r="L64" s="8"/>
    </row>
    <row r="65" spans="1:12" s="11" customFormat="1" ht="12.75">
      <c r="A65" s="66" t="s">
        <v>238</v>
      </c>
      <c r="B65" s="64" t="s">
        <v>239</v>
      </c>
      <c r="C65" s="74">
        <f aca="true" t="shared" si="27" ref="C65:H65">+C66+C67</f>
        <v>0</v>
      </c>
      <c r="D65" s="74">
        <f t="shared" si="27"/>
        <v>0</v>
      </c>
      <c r="E65" s="74">
        <f t="shared" si="27"/>
        <v>3</v>
      </c>
      <c r="F65" s="74">
        <f t="shared" si="27"/>
        <v>0.87</v>
      </c>
      <c r="G65" s="74">
        <f t="shared" si="27"/>
        <v>0.62</v>
      </c>
      <c r="H65" s="74">
        <f t="shared" si="27"/>
        <v>0</v>
      </c>
      <c r="I65" s="8"/>
      <c r="J65" s="8"/>
      <c r="K65" s="8"/>
      <c r="L65" s="8"/>
    </row>
    <row r="66" spans="1:12" ht="12.75">
      <c r="A66" s="76" t="s">
        <v>240</v>
      </c>
      <c r="B66" s="69" t="s">
        <v>241</v>
      </c>
      <c r="C66" s="68"/>
      <c r="D66" s="10"/>
      <c r="E66" s="10"/>
      <c r="F66" s="10"/>
      <c r="G66" s="7"/>
      <c r="H66" s="7"/>
      <c r="I66" s="8"/>
      <c r="J66" s="8"/>
      <c r="K66" s="8"/>
      <c r="L66" s="8"/>
    </row>
    <row r="67" spans="1:12" s="11" customFormat="1" ht="12.75">
      <c r="A67" s="76" t="s">
        <v>242</v>
      </c>
      <c r="B67" s="69" t="s">
        <v>243</v>
      </c>
      <c r="C67" s="68"/>
      <c r="D67" s="10"/>
      <c r="E67" s="10">
        <v>3</v>
      </c>
      <c r="F67" s="10">
        <f>0.37+0.5</f>
        <v>0.87</v>
      </c>
      <c r="G67" s="75">
        <f>0.37+0.25</f>
        <v>0.62</v>
      </c>
      <c r="H67" s="75"/>
      <c r="I67" s="8"/>
      <c r="J67" s="8"/>
      <c r="K67" s="8"/>
      <c r="L67" s="8"/>
    </row>
    <row r="68" spans="1:12" s="11" customFormat="1" ht="12.75">
      <c r="A68" s="66" t="s">
        <v>244</v>
      </c>
      <c r="B68" s="64" t="s">
        <v>158</v>
      </c>
      <c r="C68" s="63">
        <f>+C69</f>
        <v>0</v>
      </c>
      <c r="D68" s="63">
        <f aca="true" t="shared" si="28" ref="D68:H69">+D69</f>
        <v>0</v>
      </c>
      <c r="E68" s="63">
        <f t="shared" si="28"/>
        <v>0</v>
      </c>
      <c r="F68" s="63">
        <f t="shared" si="28"/>
        <v>0</v>
      </c>
      <c r="G68" s="63">
        <f t="shared" si="28"/>
        <v>0</v>
      </c>
      <c r="H68" s="63">
        <f t="shared" si="28"/>
        <v>0</v>
      </c>
      <c r="I68" s="8"/>
      <c r="J68" s="8"/>
      <c r="K68" s="8"/>
      <c r="L68" s="8"/>
    </row>
    <row r="69" spans="1:12" s="11" customFormat="1" ht="12.75">
      <c r="A69" s="76" t="s">
        <v>245</v>
      </c>
      <c r="B69" s="64" t="s">
        <v>246</v>
      </c>
      <c r="C69" s="63">
        <f>+C70</f>
        <v>0</v>
      </c>
      <c r="D69" s="63">
        <f t="shared" si="28"/>
        <v>0</v>
      </c>
      <c r="E69" s="63">
        <f t="shared" si="28"/>
        <v>0</v>
      </c>
      <c r="F69" s="63">
        <f t="shared" si="28"/>
        <v>0</v>
      </c>
      <c r="G69" s="63">
        <f t="shared" si="28"/>
        <v>0</v>
      </c>
      <c r="H69" s="63">
        <f t="shared" si="28"/>
        <v>0</v>
      </c>
      <c r="I69" s="8"/>
      <c r="J69" s="8"/>
      <c r="K69" s="8"/>
      <c r="L69" s="8"/>
    </row>
    <row r="70" spans="1:12" s="11" customFormat="1" ht="12.75">
      <c r="A70" s="76" t="s">
        <v>247</v>
      </c>
      <c r="B70" s="69" t="s">
        <v>248</v>
      </c>
      <c r="C70" s="68"/>
      <c r="D70" s="10"/>
      <c r="E70" s="10"/>
      <c r="F70" s="10"/>
      <c r="G70" s="10"/>
      <c r="H70" s="10"/>
      <c r="I70" s="8"/>
      <c r="J70" s="8"/>
      <c r="K70" s="8"/>
      <c r="L70" s="8"/>
    </row>
    <row r="71" spans="1:12" s="11" customFormat="1" ht="12.75">
      <c r="A71" s="76"/>
      <c r="B71" s="123" t="s">
        <v>363</v>
      </c>
      <c r="C71" s="68">
        <f aca="true" t="shared" si="29" ref="C71:H71">C72</f>
        <v>0</v>
      </c>
      <c r="D71" s="68">
        <f t="shared" si="29"/>
        <v>0</v>
      </c>
      <c r="E71" s="68">
        <f t="shared" si="29"/>
        <v>0</v>
      </c>
      <c r="F71" s="68">
        <f t="shared" si="29"/>
        <v>0</v>
      </c>
      <c r="G71" s="68">
        <f t="shared" si="29"/>
        <v>0</v>
      </c>
      <c r="H71" s="68">
        <f t="shared" si="29"/>
        <v>0</v>
      </c>
      <c r="I71" s="8"/>
      <c r="J71" s="8"/>
      <c r="K71" s="8"/>
      <c r="L71" s="8"/>
    </row>
    <row r="72" spans="1:12" s="11" customFormat="1" ht="12.75">
      <c r="A72" s="76"/>
      <c r="B72" s="69" t="s">
        <v>364</v>
      </c>
      <c r="C72" s="68"/>
      <c r="D72" s="10"/>
      <c r="E72" s="10"/>
      <c r="F72" s="10"/>
      <c r="G72" s="10"/>
      <c r="H72" s="10"/>
      <c r="I72" s="8"/>
      <c r="J72" s="8"/>
      <c r="K72" s="8"/>
      <c r="L72" s="8"/>
    </row>
    <row r="73" spans="1:12" ht="12.75">
      <c r="A73" s="66" t="s">
        <v>249</v>
      </c>
      <c r="B73" s="64" t="s">
        <v>162</v>
      </c>
      <c r="C73" s="65">
        <f aca="true" t="shared" si="30" ref="C73:H73">+C74</f>
        <v>0</v>
      </c>
      <c r="D73" s="65">
        <f t="shared" si="30"/>
        <v>0</v>
      </c>
      <c r="E73" s="65">
        <f t="shared" si="30"/>
        <v>0</v>
      </c>
      <c r="F73" s="65">
        <f t="shared" si="30"/>
        <v>0</v>
      </c>
      <c r="G73" s="65">
        <f t="shared" si="30"/>
        <v>0</v>
      </c>
      <c r="H73" s="65">
        <f t="shared" si="30"/>
        <v>0</v>
      </c>
      <c r="I73" s="8"/>
      <c r="J73" s="8"/>
      <c r="K73" s="8"/>
      <c r="L73" s="8"/>
    </row>
    <row r="74" spans="1:12" ht="12.75">
      <c r="A74" s="66" t="s">
        <v>250</v>
      </c>
      <c r="B74" s="64" t="s">
        <v>164</v>
      </c>
      <c r="C74" s="65">
        <f aca="true" t="shared" si="31" ref="C74:H74">+C75+C80</f>
        <v>0</v>
      </c>
      <c r="D74" s="65">
        <f t="shared" si="31"/>
        <v>0</v>
      </c>
      <c r="E74" s="65">
        <f t="shared" si="31"/>
        <v>0</v>
      </c>
      <c r="F74" s="65">
        <f t="shared" si="31"/>
        <v>0</v>
      </c>
      <c r="G74" s="65">
        <f t="shared" si="31"/>
        <v>0</v>
      </c>
      <c r="H74" s="65">
        <f t="shared" si="31"/>
        <v>0</v>
      </c>
      <c r="I74" s="8"/>
      <c r="J74" s="8"/>
      <c r="K74" s="8"/>
      <c r="L74" s="8"/>
    </row>
    <row r="75" spans="1:12" ht="12.75">
      <c r="A75" s="66" t="s">
        <v>251</v>
      </c>
      <c r="B75" s="64" t="s">
        <v>252</v>
      </c>
      <c r="C75" s="65">
        <f aca="true" t="shared" si="32" ref="C75:H75">+C77+C79+C78+C76</f>
        <v>0</v>
      </c>
      <c r="D75" s="65">
        <f t="shared" si="32"/>
        <v>0</v>
      </c>
      <c r="E75" s="65">
        <f t="shared" si="32"/>
        <v>0</v>
      </c>
      <c r="F75" s="65">
        <f t="shared" si="32"/>
        <v>0</v>
      </c>
      <c r="G75" s="65">
        <f t="shared" si="32"/>
        <v>0</v>
      </c>
      <c r="H75" s="65">
        <f t="shared" si="32"/>
        <v>0</v>
      </c>
      <c r="I75" s="8"/>
      <c r="J75" s="8"/>
      <c r="K75" s="8"/>
      <c r="L75" s="8"/>
    </row>
    <row r="76" spans="1:12" ht="12.75">
      <c r="A76" s="66"/>
      <c r="B76" s="77" t="s">
        <v>253</v>
      </c>
      <c r="C76" s="65"/>
      <c r="D76" s="10"/>
      <c r="E76" s="10"/>
      <c r="F76" s="10"/>
      <c r="G76" s="7"/>
      <c r="H76" s="7"/>
      <c r="I76" s="8"/>
      <c r="J76" s="8"/>
      <c r="K76" s="8"/>
      <c r="L76" s="8"/>
    </row>
    <row r="77" spans="1:12" ht="12.75">
      <c r="A77" s="76" t="s">
        <v>254</v>
      </c>
      <c r="B77" s="69" t="s">
        <v>255</v>
      </c>
      <c r="C77" s="68"/>
      <c r="D77" s="10"/>
      <c r="E77" s="10"/>
      <c r="F77" s="10"/>
      <c r="G77" s="7"/>
      <c r="H77" s="7"/>
      <c r="I77" s="8"/>
      <c r="J77" s="8"/>
      <c r="K77" s="8"/>
      <c r="L77" s="8"/>
    </row>
    <row r="78" spans="1:12" ht="12.75">
      <c r="A78" s="76" t="s">
        <v>256</v>
      </c>
      <c r="B78" s="67" t="s">
        <v>257</v>
      </c>
      <c r="C78" s="68"/>
      <c r="D78" s="10"/>
      <c r="E78" s="10"/>
      <c r="F78" s="10"/>
      <c r="G78" s="7"/>
      <c r="H78" s="7"/>
      <c r="I78" s="8"/>
      <c r="J78" s="8"/>
      <c r="K78" s="8"/>
      <c r="L78" s="8"/>
    </row>
    <row r="79" spans="1:12" s="111" customFormat="1" ht="11.25" customHeight="1">
      <c r="A79" s="76" t="s">
        <v>258</v>
      </c>
      <c r="B79" s="69" t="s">
        <v>259</v>
      </c>
      <c r="C79" s="68"/>
      <c r="D79" s="10"/>
      <c r="E79" s="10"/>
      <c r="F79" s="10"/>
      <c r="G79" s="7"/>
      <c r="H79" s="7"/>
      <c r="I79" s="8"/>
      <c r="J79" s="8"/>
      <c r="K79" s="8"/>
      <c r="L79" s="8"/>
    </row>
    <row r="80" spans="1:12" s="111" customFormat="1" ht="12.75">
      <c r="A80" s="109"/>
      <c r="B80" s="67" t="s">
        <v>260</v>
      </c>
      <c r="C80" s="68"/>
      <c r="D80" s="10"/>
      <c r="E80" s="10"/>
      <c r="F80" s="10"/>
      <c r="G80" s="7"/>
      <c r="H80" s="7"/>
      <c r="I80" s="8"/>
      <c r="J80" s="8"/>
      <c r="K80" s="8"/>
      <c r="L80" s="8"/>
    </row>
    <row r="81" spans="1:12" s="111" customFormat="1" ht="12.75">
      <c r="A81" s="76" t="s">
        <v>172</v>
      </c>
      <c r="B81" s="64" t="s">
        <v>261</v>
      </c>
      <c r="C81" s="68"/>
      <c r="D81" s="10"/>
      <c r="E81" s="10"/>
      <c r="F81" s="10"/>
      <c r="G81" s="7"/>
      <c r="H81" s="7"/>
      <c r="I81" s="8"/>
      <c r="J81" s="8"/>
      <c r="K81" s="8"/>
      <c r="L81" s="8"/>
    </row>
    <row r="82" spans="1:12" s="111" customFormat="1" ht="12.75">
      <c r="A82" s="76" t="s">
        <v>262</v>
      </c>
      <c r="B82" s="64" t="s">
        <v>263</v>
      </c>
      <c r="C82" s="63">
        <f aca="true" t="shared" si="33" ref="C82:H82">+C41-C84+C28+C73+C169+C71</f>
        <v>0</v>
      </c>
      <c r="D82" s="63">
        <f t="shared" si="33"/>
        <v>14785</v>
      </c>
      <c r="E82" s="63">
        <f t="shared" si="33"/>
        <v>19624.82</v>
      </c>
      <c r="F82" s="63">
        <f t="shared" si="33"/>
        <v>17289.62999999999</v>
      </c>
      <c r="G82" s="63">
        <f t="shared" si="33"/>
        <v>17248.63</v>
      </c>
      <c r="H82" s="63">
        <f t="shared" si="33"/>
        <v>2916.929999999997</v>
      </c>
      <c r="I82" s="8"/>
      <c r="J82" s="8"/>
      <c r="K82" s="8"/>
      <c r="L82" s="8"/>
    </row>
    <row r="83" spans="1:12" s="111" customFormat="1" ht="12.75">
      <c r="A83" s="76"/>
      <c r="B83" s="124" t="s">
        <v>369</v>
      </c>
      <c r="C83" s="63"/>
      <c r="D83" s="63"/>
      <c r="E83" s="63"/>
      <c r="F83" s="63"/>
      <c r="G83" s="63"/>
      <c r="H83" s="63"/>
      <c r="I83" s="8"/>
      <c r="J83" s="8"/>
      <c r="K83" s="8"/>
      <c r="L83" s="8"/>
    </row>
    <row r="84" spans="1:12" s="111" customFormat="1" ht="15">
      <c r="A84" s="76"/>
      <c r="B84" s="72" t="s">
        <v>264</v>
      </c>
      <c r="C84" s="78">
        <f aca="true" t="shared" si="34" ref="C84:H84">+C85+C125+C148+C150+C164+C166</f>
        <v>0</v>
      </c>
      <c r="D84" s="78">
        <f t="shared" si="34"/>
        <v>198281.25999999998</v>
      </c>
      <c r="E84" s="78">
        <f t="shared" si="34"/>
        <v>193924.58</v>
      </c>
      <c r="F84" s="78">
        <f t="shared" si="34"/>
        <v>105702.63</v>
      </c>
      <c r="G84" s="78">
        <f t="shared" si="34"/>
        <v>104362.9</v>
      </c>
      <c r="H84" s="78">
        <f t="shared" si="34"/>
        <v>18436.850000000002</v>
      </c>
      <c r="I84" s="78"/>
      <c r="J84" s="8"/>
      <c r="K84" s="8"/>
      <c r="L84" s="8"/>
    </row>
    <row r="85" spans="1:12" ht="25.5">
      <c r="A85" s="66" t="s">
        <v>265</v>
      </c>
      <c r="B85" s="64" t="s">
        <v>266</v>
      </c>
      <c r="C85" s="65">
        <f aca="true" t="shared" si="35" ref="C85:H85">+C86+C92+C105+C121+C123</f>
        <v>0</v>
      </c>
      <c r="D85" s="65">
        <f t="shared" si="35"/>
        <v>77547.95</v>
      </c>
      <c r="E85" s="65">
        <f t="shared" si="35"/>
        <v>73280.18</v>
      </c>
      <c r="F85" s="65">
        <f t="shared" si="35"/>
        <v>42295.69</v>
      </c>
      <c r="G85" s="65">
        <f t="shared" si="35"/>
        <v>41318.51</v>
      </c>
      <c r="H85" s="65">
        <f t="shared" si="35"/>
        <v>8008.72</v>
      </c>
      <c r="I85" s="8"/>
      <c r="J85" s="8"/>
      <c r="K85" s="8"/>
      <c r="L85" s="8"/>
    </row>
    <row r="86" spans="1:12" ht="12.75">
      <c r="A86" s="76" t="s">
        <v>267</v>
      </c>
      <c r="B86" s="64" t="s">
        <v>268</v>
      </c>
      <c r="C86" s="63">
        <f aca="true" t="shared" si="36" ref="C86:H86">+C87+C89+C90+C88</f>
        <v>0</v>
      </c>
      <c r="D86" s="63">
        <f t="shared" si="36"/>
        <v>37235.82</v>
      </c>
      <c r="E86" s="63">
        <f t="shared" si="36"/>
        <v>34251.82</v>
      </c>
      <c r="F86" s="63">
        <f t="shared" si="36"/>
        <v>21933.599999999995</v>
      </c>
      <c r="G86" s="63">
        <f t="shared" si="36"/>
        <v>21930.329999999998</v>
      </c>
      <c r="H86" s="63">
        <f t="shared" si="36"/>
        <v>4243.9</v>
      </c>
      <c r="I86" s="8"/>
      <c r="J86" s="8"/>
      <c r="K86" s="8"/>
      <c r="L86" s="8"/>
    </row>
    <row r="87" spans="1:12" ht="12.75">
      <c r="A87" s="76"/>
      <c r="B87" s="67" t="s">
        <v>269</v>
      </c>
      <c r="C87" s="68"/>
      <c r="D87" s="10">
        <v>36051</v>
      </c>
      <c r="E87" s="10">
        <v>33246</v>
      </c>
      <c r="F87" s="10">
        <f>8519.38+8800+4020.53</f>
        <v>21339.909999999996</v>
      </c>
      <c r="G87" s="7">
        <f>4199.49+4319.89+4317.73+4364.44+4135.09</f>
        <v>21336.64</v>
      </c>
      <c r="H87" s="7">
        <v>4135.09</v>
      </c>
      <c r="I87" s="8"/>
      <c r="J87" s="8"/>
      <c r="K87" s="8"/>
      <c r="L87" s="8"/>
    </row>
    <row r="88" spans="1:12" ht="12.75">
      <c r="A88" s="76"/>
      <c r="B88" s="67" t="s">
        <v>375</v>
      </c>
      <c r="C88" s="68"/>
      <c r="D88" s="10"/>
      <c r="E88" s="10"/>
      <c r="F88" s="10"/>
      <c r="G88" s="7"/>
      <c r="H88" s="7"/>
      <c r="I88" s="8"/>
      <c r="J88" s="8"/>
      <c r="K88" s="8"/>
      <c r="L88" s="8"/>
    </row>
    <row r="89" spans="1:12" s="11" customFormat="1" ht="12.75">
      <c r="A89" s="76"/>
      <c r="B89" s="67" t="s">
        <v>270</v>
      </c>
      <c r="C89" s="68"/>
      <c r="D89" s="10">
        <f>105.94+8.88</f>
        <v>114.82</v>
      </c>
      <c r="E89" s="10">
        <v>114.82</v>
      </c>
      <c r="F89" s="10">
        <v>114.82</v>
      </c>
      <c r="G89" s="7">
        <f>26.27+33.48+19.79+18.2+17.08</f>
        <v>114.82</v>
      </c>
      <c r="H89" s="7">
        <v>17.08</v>
      </c>
      <c r="I89" s="8"/>
      <c r="J89" s="8"/>
      <c r="K89" s="8"/>
      <c r="L89" s="8"/>
    </row>
    <row r="90" spans="1:12" ht="38.25">
      <c r="A90" s="76"/>
      <c r="B90" s="67" t="s">
        <v>271</v>
      </c>
      <c r="C90" s="68"/>
      <c r="D90" s="10">
        <v>1070</v>
      </c>
      <c r="E90" s="10">
        <v>891</v>
      </c>
      <c r="F90" s="10">
        <f>198.3+250+30.57</f>
        <v>478.87</v>
      </c>
      <c r="G90" s="7">
        <f>101.02+97.28+91.17+97.67+91.73</f>
        <v>478.87000000000006</v>
      </c>
      <c r="H90" s="7">
        <v>91.73</v>
      </c>
      <c r="I90" s="8"/>
      <c r="J90" s="8"/>
      <c r="K90" s="8"/>
      <c r="L90" s="8"/>
    </row>
    <row r="91" spans="1:12" ht="12.75">
      <c r="A91" s="76"/>
      <c r="B91" s="125" t="s">
        <v>369</v>
      </c>
      <c r="C91" s="68"/>
      <c r="D91" s="10"/>
      <c r="E91" s="10"/>
      <c r="F91" s="10"/>
      <c r="G91" s="7">
        <f>-10-5.61-0.85-8.42-4.8</f>
        <v>-29.680000000000003</v>
      </c>
      <c r="H91" s="7">
        <v>-4.8</v>
      </c>
      <c r="I91" s="8"/>
      <c r="J91" s="8"/>
      <c r="K91" s="8"/>
      <c r="L91" s="8"/>
    </row>
    <row r="92" spans="1:12" ht="25.5">
      <c r="A92" s="76" t="s">
        <v>272</v>
      </c>
      <c r="B92" s="64" t="s">
        <v>273</v>
      </c>
      <c r="C92" s="68">
        <f aca="true" t="shared" si="37" ref="C92:H92">C93+C94+C95+C96+C97+C98+C100+C99+C101</f>
        <v>0</v>
      </c>
      <c r="D92" s="68">
        <f t="shared" si="37"/>
        <v>25729.14</v>
      </c>
      <c r="E92" s="68">
        <f t="shared" si="37"/>
        <v>24435.29</v>
      </c>
      <c r="F92" s="68">
        <f t="shared" si="37"/>
        <v>12231.43</v>
      </c>
      <c r="G92" s="68">
        <f t="shared" si="37"/>
        <v>11600.410000000002</v>
      </c>
      <c r="H92" s="68">
        <f t="shared" si="37"/>
        <v>2364.86</v>
      </c>
      <c r="I92" s="8"/>
      <c r="J92" s="8"/>
      <c r="K92" s="8"/>
      <c r="L92" s="8"/>
    </row>
    <row r="93" spans="1:12" ht="12.75">
      <c r="A93" s="76"/>
      <c r="B93" s="83" t="s">
        <v>274</v>
      </c>
      <c r="C93" s="68"/>
      <c r="D93" s="93">
        <v>30.18</v>
      </c>
      <c r="E93" s="10">
        <v>32.24</v>
      </c>
      <c r="F93" s="10">
        <f>9.24+7.54+1.73</f>
        <v>18.51</v>
      </c>
      <c r="G93" s="10">
        <f>2.52+6.72+2.95+1.59+4.72</f>
        <v>18.5</v>
      </c>
      <c r="H93" s="10">
        <v>4.72</v>
      </c>
      <c r="I93" s="8"/>
      <c r="J93" s="8"/>
      <c r="K93" s="8"/>
      <c r="L93" s="8"/>
    </row>
    <row r="94" spans="1:12" ht="12.75">
      <c r="A94" s="76"/>
      <c r="B94" s="83" t="s">
        <v>275</v>
      </c>
      <c r="C94" s="68"/>
      <c r="D94" s="93"/>
      <c r="E94" s="10"/>
      <c r="F94" s="10"/>
      <c r="G94" s="7"/>
      <c r="H94" s="7"/>
      <c r="I94" s="8"/>
      <c r="J94" s="8"/>
      <c r="K94" s="8"/>
      <c r="L94" s="8"/>
    </row>
    <row r="95" spans="1:12" ht="12.75">
      <c r="A95" s="76"/>
      <c r="B95" s="83" t="s">
        <v>276</v>
      </c>
      <c r="C95" s="68"/>
      <c r="D95" s="93"/>
      <c r="E95" s="10"/>
      <c r="F95" s="10"/>
      <c r="G95" s="7"/>
      <c r="H95" s="7"/>
      <c r="I95" s="8"/>
      <c r="J95" s="8"/>
      <c r="K95" s="8"/>
      <c r="L95" s="8"/>
    </row>
    <row r="96" spans="1:12" ht="12.75">
      <c r="A96" s="76"/>
      <c r="B96" s="83" t="s">
        <v>277</v>
      </c>
      <c r="C96" s="68"/>
      <c r="D96" s="93">
        <v>9917.3</v>
      </c>
      <c r="E96" s="10">
        <v>9997.91</v>
      </c>
      <c r="F96" s="10">
        <f>2913.91+3011.23+186.88</f>
        <v>6112.0199999999995</v>
      </c>
      <c r="G96" s="7">
        <f>938.26+1975.65+1111.09+895.47+1191.55</f>
        <v>6112.02</v>
      </c>
      <c r="H96" s="7">
        <v>1191.55</v>
      </c>
      <c r="I96" s="8"/>
      <c r="J96" s="8"/>
      <c r="K96" s="8"/>
      <c r="L96" s="8"/>
    </row>
    <row r="97" spans="1:12" ht="12.75">
      <c r="A97" s="76"/>
      <c r="B97" s="87" t="s">
        <v>278</v>
      </c>
      <c r="C97" s="68"/>
      <c r="D97" s="94">
        <v>23.96</v>
      </c>
      <c r="E97" s="10">
        <v>29.48</v>
      </c>
      <c r="F97" s="10">
        <f>16.95+6+4.77</f>
        <v>27.72</v>
      </c>
      <c r="G97" s="7">
        <f>0.93+16.01+10.78</f>
        <v>27.72</v>
      </c>
      <c r="H97" s="7">
        <v>10.78</v>
      </c>
      <c r="I97" s="8"/>
      <c r="J97" s="8"/>
      <c r="K97" s="8"/>
      <c r="L97" s="8"/>
    </row>
    <row r="98" spans="1:12" ht="25.5">
      <c r="A98" s="76"/>
      <c r="B98" s="83" t="s">
        <v>279</v>
      </c>
      <c r="C98" s="68"/>
      <c r="D98" s="93">
        <v>643.68</v>
      </c>
      <c r="E98" s="10">
        <v>624.87</v>
      </c>
      <c r="F98" s="10">
        <f>183.32+168+4.86</f>
        <v>356.18</v>
      </c>
      <c r="G98" s="7">
        <f>55.97+127.35+41.16+79.21+52.49</f>
        <v>356.18</v>
      </c>
      <c r="H98" s="7">
        <v>52.49</v>
      </c>
      <c r="I98" s="8"/>
      <c r="J98" s="8"/>
      <c r="K98" s="8"/>
      <c r="L98" s="8"/>
    </row>
    <row r="99" spans="1:12" ht="12.75">
      <c r="A99" s="76"/>
      <c r="B99" s="88" t="s">
        <v>280</v>
      </c>
      <c r="C99" s="68"/>
      <c r="D99" s="95"/>
      <c r="E99" s="10"/>
      <c r="F99" s="10"/>
      <c r="G99" s="7"/>
      <c r="H99" s="7"/>
      <c r="I99" s="8"/>
      <c r="J99" s="8"/>
      <c r="K99" s="8"/>
      <c r="L99" s="8"/>
    </row>
    <row r="100" spans="1:12" ht="12.75">
      <c r="A100" s="76"/>
      <c r="B100" s="83" t="s">
        <v>376</v>
      </c>
      <c r="C100" s="68"/>
      <c r="D100" s="68">
        <v>10032.64</v>
      </c>
      <c r="E100" s="68">
        <v>9548.33</v>
      </c>
      <c r="F100" s="68">
        <f>2082.16+2350</f>
        <v>4432.16</v>
      </c>
      <c r="G100" s="68">
        <f>796+1286.16+778.17+522.02+982.52</f>
        <v>4364.87</v>
      </c>
      <c r="H100" s="68">
        <v>982.52</v>
      </c>
      <c r="I100" s="68"/>
      <c r="J100" s="8"/>
      <c r="K100" s="8"/>
      <c r="L100" s="8"/>
    </row>
    <row r="101" spans="1:12" ht="25.5">
      <c r="A101" s="76"/>
      <c r="B101" s="132" t="s">
        <v>377</v>
      </c>
      <c r="C101" s="68">
        <f aca="true" t="shared" si="38" ref="C101:H101">C102+C103</f>
        <v>0</v>
      </c>
      <c r="D101" s="68">
        <f t="shared" si="38"/>
        <v>5081.38</v>
      </c>
      <c r="E101" s="68">
        <f t="shared" si="38"/>
        <v>4202.46</v>
      </c>
      <c r="F101" s="68">
        <f t="shared" si="38"/>
        <v>1284.8400000000001</v>
      </c>
      <c r="G101" s="68">
        <f t="shared" si="38"/>
        <v>721.12</v>
      </c>
      <c r="H101" s="68">
        <f t="shared" si="38"/>
        <v>122.8</v>
      </c>
      <c r="I101" s="8"/>
      <c r="J101" s="8"/>
      <c r="K101" s="8"/>
      <c r="L101" s="8"/>
    </row>
    <row r="102" spans="1:12" ht="25.5">
      <c r="A102" s="76"/>
      <c r="B102" s="88" t="s">
        <v>378</v>
      </c>
      <c r="C102" s="68"/>
      <c r="D102" s="133">
        <v>5081.38</v>
      </c>
      <c r="E102" s="10">
        <v>4202.46</v>
      </c>
      <c r="F102" s="10">
        <f>356.62+928.22</f>
        <v>1284.8400000000001</v>
      </c>
      <c r="G102" s="7">
        <f>161.02+195.59+105.23+136.48+122.8</f>
        <v>721.12</v>
      </c>
      <c r="H102" s="7">
        <v>122.8</v>
      </c>
      <c r="I102" s="8"/>
      <c r="J102" s="8"/>
      <c r="K102" s="8"/>
      <c r="L102" s="8"/>
    </row>
    <row r="103" spans="1:12" ht="12.75">
      <c r="A103" s="76"/>
      <c r="B103" s="88" t="s">
        <v>379</v>
      </c>
      <c r="C103" s="68"/>
      <c r="D103" s="95"/>
      <c r="E103" s="10"/>
      <c r="F103" s="10"/>
      <c r="G103" s="7"/>
      <c r="H103" s="7"/>
      <c r="I103" s="8"/>
      <c r="J103" s="8"/>
      <c r="K103" s="8"/>
      <c r="L103" s="8"/>
    </row>
    <row r="104" spans="1:12" ht="12.75">
      <c r="A104" s="76"/>
      <c r="B104" s="126" t="s">
        <v>369</v>
      </c>
      <c r="C104" s="68"/>
      <c r="D104" s="95"/>
      <c r="E104" s="10"/>
      <c r="F104" s="10"/>
      <c r="G104" s="7"/>
      <c r="H104" s="7"/>
      <c r="I104" s="8"/>
      <c r="J104" s="8"/>
      <c r="K104" s="8"/>
      <c r="L104" s="8"/>
    </row>
    <row r="105" spans="1:12" ht="25.5">
      <c r="A105" s="76" t="s">
        <v>281</v>
      </c>
      <c r="B105" s="64" t="s">
        <v>282</v>
      </c>
      <c r="C105" s="68">
        <f aca="true" t="shared" si="39" ref="C105:H105">C106+C107+C108+C109+C110+C111+C112+C113+C114+C115</f>
        <v>0</v>
      </c>
      <c r="D105" s="68">
        <f t="shared" si="39"/>
        <v>2075.73</v>
      </c>
      <c r="E105" s="68">
        <f t="shared" si="39"/>
        <v>2085.81</v>
      </c>
      <c r="F105" s="68">
        <f t="shared" si="39"/>
        <v>1047.55</v>
      </c>
      <c r="G105" s="68">
        <f t="shared" si="39"/>
        <v>1047.54</v>
      </c>
      <c r="H105" s="68">
        <f t="shared" si="39"/>
        <v>229.16000000000003</v>
      </c>
      <c r="I105" s="8"/>
      <c r="J105" s="8"/>
      <c r="K105" s="8"/>
      <c r="L105" s="8"/>
    </row>
    <row r="106" spans="1:12" ht="12.75">
      <c r="A106" s="76"/>
      <c r="B106" s="83" t="s">
        <v>277</v>
      </c>
      <c r="C106" s="68"/>
      <c r="D106" s="93">
        <v>1968.01</v>
      </c>
      <c r="E106" s="10">
        <v>1960.09</v>
      </c>
      <c r="F106" s="10">
        <f>471.09+455.4+42.17</f>
        <v>968.66</v>
      </c>
      <c r="G106" s="7">
        <f>151.48+319.61+176.85+111.89+208.83</f>
        <v>968.6600000000001</v>
      </c>
      <c r="H106" s="7">
        <v>208.83</v>
      </c>
      <c r="I106" s="8"/>
      <c r="J106" s="8"/>
      <c r="K106" s="8"/>
      <c r="L106" s="8"/>
    </row>
    <row r="107" spans="1:255" s="11" customFormat="1" ht="25.5">
      <c r="A107" s="76"/>
      <c r="B107" s="89" t="s">
        <v>283</v>
      </c>
      <c r="C107" s="68"/>
      <c r="D107" s="96"/>
      <c r="E107" s="10"/>
      <c r="F107" s="10"/>
      <c r="G107" s="7"/>
      <c r="H107" s="7"/>
      <c r="I107" s="8"/>
      <c r="J107" s="8"/>
      <c r="K107" s="8"/>
      <c r="L107" s="8"/>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255" s="11" customFormat="1" ht="12.75">
      <c r="A108" s="76"/>
      <c r="B108" s="90" t="s">
        <v>284</v>
      </c>
      <c r="C108" s="68"/>
      <c r="D108" s="97">
        <v>107.72</v>
      </c>
      <c r="E108" s="10">
        <v>125.72</v>
      </c>
      <c r="F108" s="10">
        <f>35.72+30+13.17</f>
        <v>78.89</v>
      </c>
      <c r="G108" s="7">
        <f>14.55+21.17+18.06+4.77+20.33</f>
        <v>78.88</v>
      </c>
      <c r="H108" s="7">
        <v>20.33</v>
      </c>
      <c r="I108" s="8"/>
      <c r="J108" s="8"/>
      <c r="K108" s="8"/>
      <c r="L108" s="8"/>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row>
    <row r="109" spans="1:12" s="11" customFormat="1" ht="25.5">
      <c r="A109" s="76"/>
      <c r="B109" s="90" t="s">
        <v>285</v>
      </c>
      <c r="C109" s="68"/>
      <c r="D109" s="97"/>
      <c r="E109" s="10"/>
      <c r="F109" s="10"/>
      <c r="G109" s="7"/>
      <c r="H109" s="7"/>
      <c r="I109" s="8"/>
      <c r="J109" s="8"/>
      <c r="K109" s="8"/>
      <c r="L109" s="8"/>
    </row>
    <row r="110" spans="1:12" s="11" customFormat="1" ht="12.75">
      <c r="A110" s="76"/>
      <c r="B110" s="90" t="s">
        <v>286</v>
      </c>
      <c r="C110" s="68"/>
      <c r="D110" s="97"/>
      <c r="E110" s="10"/>
      <c r="F110" s="10"/>
      <c r="G110" s="7"/>
      <c r="H110" s="7"/>
      <c r="I110" s="8"/>
      <c r="J110" s="8"/>
      <c r="K110" s="8"/>
      <c r="L110" s="8"/>
    </row>
    <row r="111" spans="1:255" ht="12.75">
      <c r="A111" s="76"/>
      <c r="B111" s="83" t="s">
        <v>274</v>
      </c>
      <c r="C111" s="68"/>
      <c r="D111" s="93"/>
      <c r="E111" s="10"/>
      <c r="F111" s="10"/>
      <c r="G111" s="7"/>
      <c r="H111" s="7"/>
      <c r="I111" s="8"/>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12" s="11" customFormat="1" ht="12.75">
      <c r="A112" s="76"/>
      <c r="B112" s="90" t="s">
        <v>287</v>
      </c>
      <c r="C112" s="68"/>
      <c r="D112" s="97"/>
      <c r="E112" s="10"/>
      <c r="F112" s="10"/>
      <c r="G112" s="79"/>
      <c r="H112" s="79"/>
      <c r="I112" s="8"/>
      <c r="J112" s="8"/>
      <c r="K112" s="8"/>
      <c r="L112" s="8"/>
    </row>
    <row r="113" spans="1:12" s="11" customFormat="1" ht="12.75">
      <c r="A113" s="76"/>
      <c r="B113" s="90" t="s">
        <v>288</v>
      </c>
      <c r="C113" s="68"/>
      <c r="D113" s="97"/>
      <c r="E113" s="10"/>
      <c r="F113" s="10"/>
      <c r="G113" s="79"/>
      <c r="H113" s="79"/>
      <c r="I113" s="8"/>
      <c r="J113" s="8"/>
      <c r="K113" s="8"/>
      <c r="L113" s="8"/>
    </row>
    <row r="114" spans="1:12" s="11" customFormat="1" ht="25.5">
      <c r="A114" s="76"/>
      <c r="B114" s="90" t="s">
        <v>351</v>
      </c>
      <c r="C114" s="68"/>
      <c r="D114" s="97"/>
      <c r="E114" s="10"/>
      <c r="F114" s="10"/>
      <c r="G114" s="79"/>
      <c r="H114" s="79"/>
      <c r="I114" s="8"/>
      <c r="J114" s="8"/>
      <c r="K114" s="8"/>
      <c r="L114" s="8"/>
    </row>
    <row r="115" spans="1:12" s="11" customFormat="1" ht="25.5">
      <c r="A115" s="76"/>
      <c r="B115" s="90" t="s">
        <v>352</v>
      </c>
      <c r="C115" s="68">
        <f aca="true" t="shared" si="40" ref="C115:H115">C116+C117+C118+C119</f>
        <v>0</v>
      </c>
      <c r="D115" s="68">
        <f t="shared" si="40"/>
        <v>0</v>
      </c>
      <c r="E115" s="68">
        <f t="shared" si="40"/>
        <v>0</v>
      </c>
      <c r="F115" s="68">
        <f t="shared" si="40"/>
        <v>0</v>
      </c>
      <c r="G115" s="68">
        <f t="shared" si="40"/>
        <v>0</v>
      </c>
      <c r="H115" s="68">
        <f t="shared" si="40"/>
        <v>0</v>
      </c>
      <c r="I115" s="8"/>
      <c r="J115" s="8"/>
      <c r="K115" s="8"/>
      <c r="L115" s="8"/>
    </row>
    <row r="116" spans="1:12" s="11" customFormat="1" ht="12.75">
      <c r="A116" s="76"/>
      <c r="B116" s="90" t="s">
        <v>312</v>
      </c>
      <c r="C116" s="68"/>
      <c r="D116" s="97"/>
      <c r="E116" s="10"/>
      <c r="F116" s="10"/>
      <c r="G116" s="79"/>
      <c r="H116" s="79"/>
      <c r="I116" s="8"/>
      <c r="J116" s="8"/>
      <c r="K116" s="8"/>
      <c r="L116" s="8"/>
    </row>
    <row r="117" spans="1:12" s="11" customFormat="1" ht="25.5">
      <c r="A117" s="76"/>
      <c r="B117" s="90" t="s">
        <v>313</v>
      </c>
      <c r="C117" s="68"/>
      <c r="D117" s="97"/>
      <c r="E117" s="10"/>
      <c r="F117" s="10"/>
      <c r="G117" s="79"/>
      <c r="H117" s="79"/>
      <c r="I117" s="8"/>
      <c r="J117" s="8"/>
      <c r="K117" s="8"/>
      <c r="L117" s="8"/>
    </row>
    <row r="118" spans="1:255" s="11" customFormat="1" ht="25.5">
      <c r="A118" s="76"/>
      <c r="B118" s="91" t="s">
        <v>314</v>
      </c>
      <c r="C118" s="68"/>
      <c r="D118" s="98"/>
      <c r="E118" s="10"/>
      <c r="F118" s="10"/>
      <c r="G118" s="79"/>
      <c r="H118" s="79"/>
      <c r="I118" s="8"/>
      <c r="J118" s="8"/>
      <c r="K118" s="8"/>
      <c r="L118" s="8"/>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row>
    <row r="119" spans="1:12" s="11" customFormat="1" ht="25.5">
      <c r="A119" s="76"/>
      <c r="B119" s="91" t="s">
        <v>315</v>
      </c>
      <c r="C119" s="68"/>
      <c r="D119" s="98"/>
      <c r="E119" s="10"/>
      <c r="F119" s="10"/>
      <c r="G119" s="79"/>
      <c r="H119" s="79"/>
      <c r="I119" s="8"/>
      <c r="J119" s="8"/>
      <c r="K119" s="8"/>
      <c r="L119" s="8"/>
    </row>
    <row r="120" spans="1:12" s="11" customFormat="1" ht="12.75">
      <c r="A120" s="76"/>
      <c r="B120" s="127" t="s">
        <v>369</v>
      </c>
      <c r="C120" s="68"/>
      <c r="D120" s="98"/>
      <c r="E120" s="10"/>
      <c r="F120" s="10"/>
      <c r="G120" s="79"/>
      <c r="H120" s="79"/>
      <c r="I120" s="8"/>
      <c r="J120" s="8"/>
      <c r="K120" s="8"/>
      <c r="L120" s="8"/>
    </row>
    <row r="121" spans="1:12" s="11" customFormat="1" ht="12.75">
      <c r="A121" s="76" t="s">
        <v>289</v>
      </c>
      <c r="B121" s="114" t="s">
        <v>348</v>
      </c>
      <c r="C121" s="63"/>
      <c r="D121" s="10">
        <v>10254.26</v>
      </c>
      <c r="E121" s="10">
        <v>10254.26</v>
      </c>
      <c r="F121" s="10">
        <f>2903.16+2984.9</f>
        <v>5888.0599999999995</v>
      </c>
      <c r="G121" s="10">
        <f>1753.11+848.65+993.46+947.16+1002.8</f>
        <v>5545.18</v>
      </c>
      <c r="H121" s="10">
        <v>1002.8</v>
      </c>
      <c r="I121" s="8"/>
      <c r="J121" s="8"/>
      <c r="K121" s="8"/>
      <c r="L121" s="8"/>
    </row>
    <row r="122" spans="1:12" s="11" customFormat="1" ht="12.75">
      <c r="A122" s="76"/>
      <c r="B122" s="128" t="s">
        <v>369</v>
      </c>
      <c r="C122" s="63"/>
      <c r="D122" s="10"/>
      <c r="E122" s="10"/>
      <c r="F122" s="10"/>
      <c r="G122" s="10"/>
      <c r="H122" s="10"/>
      <c r="I122" s="8"/>
      <c r="J122" s="8"/>
      <c r="K122" s="8"/>
      <c r="L122" s="8"/>
    </row>
    <row r="123" spans="1:255" ht="12.75">
      <c r="A123" s="76" t="s">
        <v>290</v>
      </c>
      <c r="B123" s="69" t="s">
        <v>349</v>
      </c>
      <c r="C123" s="68"/>
      <c r="D123" s="10">
        <v>2253</v>
      </c>
      <c r="E123" s="10">
        <v>2253</v>
      </c>
      <c r="F123" s="10">
        <f>667.05+528</f>
        <v>1195.05</v>
      </c>
      <c r="G123" s="75">
        <f>348.4+287.43+211.22+180+168</f>
        <v>1195.05</v>
      </c>
      <c r="H123" s="75">
        <v>168</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76"/>
      <c r="B124" s="112" t="s">
        <v>369</v>
      </c>
      <c r="C124" s="68"/>
      <c r="D124" s="10"/>
      <c r="E124" s="10"/>
      <c r="F124" s="10"/>
      <c r="G124" s="75">
        <f>-0.97-7.73</f>
        <v>-8.700000000000001</v>
      </c>
      <c r="H124" s="75">
        <v>0</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66" t="s">
        <v>291</v>
      </c>
      <c r="B125" s="64" t="s">
        <v>292</v>
      </c>
      <c r="C125" s="65">
        <f aca="true" t="shared" si="41" ref="C125:H125">+C126+C130+C134+C138+C143</f>
        <v>0</v>
      </c>
      <c r="D125" s="65">
        <f t="shared" si="41"/>
        <v>33983.09</v>
      </c>
      <c r="E125" s="65">
        <f t="shared" si="41"/>
        <v>33984.18</v>
      </c>
      <c r="F125" s="65">
        <f t="shared" si="41"/>
        <v>17234.46</v>
      </c>
      <c r="G125" s="65">
        <f t="shared" si="41"/>
        <v>17163.829999999998</v>
      </c>
      <c r="H125" s="65">
        <f t="shared" si="41"/>
        <v>2996.7599999999998</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66" t="s">
        <v>293</v>
      </c>
      <c r="B126" s="64" t="s">
        <v>294</v>
      </c>
      <c r="C126" s="63">
        <f aca="true" t="shared" si="42" ref="C126:H126">+C127+C128</f>
        <v>0</v>
      </c>
      <c r="D126" s="63">
        <f t="shared" si="42"/>
        <v>21603</v>
      </c>
      <c r="E126" s="63">
        <f t="shared" si="42"/>
        <v>21603</v>
      </c>
      <c r="F126" s="63">
        <f t="shared" si="42"/>
        <v>10835.259999999998</v>
      </c>
      <c r="G126" s="63">
        <f t="shared" si="42"/>
        <v>10830.22</v>
      </c>
      <c r="H126" s="63">
        <f t="shared" si="42"/>
        <v>1946.8799999999999</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76"/>
      <c r="B127" s="80" t="s">
        <v>295</v>
      </c>
      <c r="C127" s="68"/>
      <c r="D127" s="10">
        <v>21093</v>
      </c>
      <c r="E127" s="10">
        <v>21093</v>
      </c>
      <c r="F127" s="10">
        <f>4913.4+5238.48+407.42</f>
        <v>10559.3</v>
      </c>
      <c r="G127" s="10">
        <f>3146.2+1767.13+1769.6+1975.82+1900.31</f>
        <v>10559.06</v>
      </c>
      <c r="H127" s="10">
        <v>1900.31</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255" ht="12.75">
      <c r="A128" s="76"/>
      <c r="B128" s="80" t="s">
        <v>296</v>
      </c>
      <c r="C128" s="68"/>
      <c r="D128" s="10">
        <v>510</v>
      </c>
      <c r="E128" s="10">
        <v>510</v>
      </c>
      <c r="F128" s="10">
        <f>137.96+138</f>
        <v>275.96000000000004</v>
      </c>
      <c r="G128" s="77">
        <f>90.96+42.29+45.33+46.01+46.57</f>
        <v>271.15999999999997</v>
      </c>
      <c r="H128" s="77">
        <v>46.57</v>
      </c>
      <c r="I128" s="8"/>
      <c r="J128" s="8"/>
      <c r="K128" s="8"/>
      <c r="L128" s="8"/>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row>
    <row r="129" spans="1:255" ht="12.75">
      <c r="A129" s="76"/>
      <c r="B129" s="129" t="s">
        <v>369</v>
      </c>
      <c r="C129" s="68"/>
      <c r="D129" s="10"/>
      <c r="E129" s="10"/>
      <c r="F129" s="10"/>
      <c r="G129" s="77">
        <f>-0.11-0.03-1.03-0.03-0.02</f>
        <v>-1.22</v>
      </c>
      <c r="H129" s="77">
        <v>-0.02</v>
      </c>
      <c r="I129" s="8"/>
      <c r="J129" s="8"/>
      <c r="K129" s="8"/>
      <c r="L129" s="8"/>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12" s="11" customFormat="1" ht="12.75">
      <c r="A130" s="76" t="s">
        <v>297</v>
      </c>
      <c r="B130" s="81" t="s">
        <v>298</v>
      </c>
      <c r="C130" s="68">
        <f aca="true" t="shared" si="43" ref="C130:H130">C131+C132</f>
        <v>0</v>
      </c>
      <c r="D130" s="68">
        <f t="shared" si="43"/>
        <v>6432</v>
      </c>
      <c r="E130" s="68">
        <f t="shared" si="43"/>
        <v>6432</v>
      </c>
      <c r="F130" s="68">
        <f t="shared" si="43"/>
        <v>3544.97</v>
      </c>
      <c r="G130" s="68">
        <f t="shared" si="43"/>
        <v>3544.1299999999997</v>
      </c>
      <c r="H130" s="68">
        <f t="shared" si="43"/>
        <v>688.58</v>
      </c>
      <c r="I130" s="8"/>
      <c r="J130" s="8"/>
      <c r="K130" s="8"/>
      <c r="L130" s="8"/>
    </row>
    <row r="131" spans="1:255" ht="15">
      <c r="A131" s="76"/>
      <c r="B131" s="103" t="s">
        <v>269</v>
      </c>
      <c r="C131" s="68"/>
      <c r="D131" s="10">
        <v>6432</v>
      </c>
      <c r="E131" s="10">
        <v>6432</v>
      </c>
      <c r="F131" s="10">
        <f>1661.21+1640.53+243.23</f>
        <v>3544.97</v>
      </c>
      <c r="G131" s="77">
        <f>1050.48+610.1+648.58+546.39+688.58</f>
        <v>3544.1299999999997</v>
      </c>
      <c r="H131" s="77">
        <v>688.58</v>
      </c>
      <c r="I131" s="8"/>
      <c r="J131" s="8"/>
      <c r="K131" s="8"/>
      <c r="L131" s="8"/>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row>
    <row r="132" spans="1:32" ht="15">
      <c r="A132" s="76"/>
      <c r="B132" s="103" t="s">
        <v>344</v>
      </c>
      <c r="C132" s="68"/>
      <c r="D132" s="10"/>
      <c r="E132" s="10"/>
      <c r="F132" s="10"/>
      <c r="G132" s="77"/>
      <c r="H132" s="77"/>
      <c r="I132" s="29"/>
      <c r="J132" s="29"/>
      <c r="K132" s="8"/>
      <c r="L132" s="8"/>
      <c r="M132" s="29"/>
      <c r="N132" s="29"/>
      <c r="O132" s="29"/>
      <c r="P132" s="29"/>
      <c r="Q132" s="29"/>
      <c r="R132" s="29"/>
      <c r="S132" s="29"/>
      <c r="T132" s="29"/>
      <c r="U132" s="29"/>
      <c r="V132" s="29"/>
      <c r="W132" s="29"/>
      <c r="X132" s="29"/>
      <c r="Y132" s="29"/>
      <c r="Z132" s="29"/>
      <c r="AA132" s="29"/>
      <c r="AB132" s="29"/>
      <c r="AC132" s="29"/>
      <c r="AD132" s="29"/>
      <c r="AE132" s="29"/>
      <c r="AF132" s="29"/>
    </row>
    <row r="133" spans="1:32" ht="15">
      <c r="A133" s="76"/>
      <c r="B133" s="115" t="s">
        <v>369</v>
      </c>
      <c r="C133" s="68"/>
      <c r="D133" s="10"/>
      <c r="E133" s="10"/>
      <c r="F133" s="10"/>
      <c r="G133" s="77">
        <f>-0.04-0.07</f>
        <v>-0.11000000000000001</v>
      </c>
      <c r="H133" s="77">
        <v>-0.07</v>
      </c>
      <c r="I133" s="29"/>
      <c r="J133" s="29"/>
      <c r="K133" s="8"/>
      <c r="L133" s="8"/>
      <c r="M133" s="29"/>
      <c r="N133" s="29"/>
      <c r="O133" s="29"/>
      <c r="P133" s="29"/>
      <c r="Q133" s="29"/>
      <c r="R133" s="29"/>
      <c r="S133" s="29"/>
      <c r="T133" s="29"/>
      <c r="U133" s="29"/>
      <c r="V133" s="29"/>
      <c r="W133" s="29"/>
      <c r="X133" s="29"/>
      <c r="Y133" s="29"/>
      <c r="Z133" s="29"/>
      <c r="AA133" s="29"/>
      <c r="AB133" s="29"/>
      <c r="AC133" s="29"/>
      <c r="AD133" s="29"/>
      <c r="AE133" s="29"/>
      <c r="AF133" s="29"/>
    </row>
    <row r="134" spans="1:12" ht="12.75">
      <c r="A134" s="66" t="s">
        <v>299</v>
      </c>
      <c r="B134" s="82" t="s">
        <v>300</v>
      </c>
      <c r="C134" s="68">
        <f aca="true" t="shared" si="44" ref="C134:H134">+C135+C136</f>
        <v>0</v>
      </c>
      <c r="D134" s="68">
        <f t="shared" si="44"/>
        <v>668</v>
      </c>
      <c r="E134" s="68">
        <f t="shared" si="44"/>
        <v>668</v>
      </c>
      <c r="F134" s="68">
        <f t="shared" si="44"/>
        <v>327.33000000000004</v>
      </c>
      <c r="G134" s="68">
        <f t="shared" si="44"/>
        <v>321.08</v>
      </c>
      <c r="H134" s="68">
        <f t="shared" si="44"/>
        <v>55.64</v>
      </c>
      <c r="I134" s="8"/>
      <c r="J134" s="8"/>
      <c r="K134" s="8"/>
      <c r="L134" s="8"/>
    </row>
    <row r="135" spans="1:12" ht="12.75">
      <c r="A135" s="76"/>
      <c r="B135" s="80" t="s">
        <v>295</v>
      </c>
      <c r="C135" s="68"/>
      <c r="D135" s="10">
        <v>668</v>
      </c>
      <c r="E135" s="10">
        <v>668</v>
      </c>
      <c r="F135" s="10">
        <f>161+166.33</f>
        <v>327.33000000000004</v>
      </c>
      <c r="G135" s="7">
        <f>108.52+52.48+52.6+51.84+55.64</f>
        <v>321.08</v>
      </c>
      <c r="H135" s="7">
        <v>55.64</v>
      </c>
      <c r="I135" s="8"/>
      <c r="J135" s="8"/>
      <c r="K135" s="8"/>
      <c r="L135" s="8"/>
    </row>
    <row r="136" spans="1:40" ht="25.5">
      <c r="A136" s="76"/>
      <c r="B136" s="80" t="s">
        <v>301</v>
      </c>
      <c r="C136" s="68"/>
      <c r="D136" s="10"/>
      <c r="E136" s="10"/>
      <c r="F136" s="10"/>
      <c r="G136" s="7"/>
      <c r="H136" s="7"/>
      <c r="I136" s="8"/>
      <c r="J136" s="8"/>
      <c r="K136" s="8"/>
      <c r="L136" s="8"/>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row>
    <row r="137" spans="1:40" ht="12.75">
      <c r="A137" s="76"/>
      <c r="B137" s="129" t="s">
        <v>369</v>
      </c>
      <c r="C137" s="68"/>
      <c r="D137" s="10"/>
      <c r="E137" s="10"/>
      <c r="F137" s="10"/>
      <c r="G137" s="7"/>
      <c r="H137" s="7"/>
      <c r="I137" s="8"/>
      <c r="J137" s="8"/>
      <c r="K137" s="8"/>
      <c r="L137" s="8"/>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row>
    <row r="138" spans="1:255" ht="12.75">
      <c r="A138" s="66" t="s">
        <v>302</v>
      </c>
      <c r="B138" s="82" t="s">
        <v>303</v>
      </c>
      <c r="C138" s="63">
        <f aca="true" t="shared" si="45" ref="C138:H138">+C139+C140+C141</f>
        <v>0</v>
      </c>
      <c r="D138" s="63">
        <f t="shared" si="45"/>
        <v>3961.09</v>
      </c>
      <c r="E138" s="63">
        <f t="shared" si="45"/>
        <v>3962.18</v>
      </c>
      <c r="F138" s="63">
        <f t="shared" si="45"/>
        <v>1946.97</v>
      </c>
      <c r="G138" s="63">
        <f t="shared" si="45"/>
        <v>1946.7</v>
      </c>
      <c r="H138" s="63">
        <f t="shared" si="45"/>
        <v>212.98000000000002</v>
      </c>
      <c r="I138" s="8"/>
      <c r="J138" s="8"/>
      <c r="K138" s="8"/>
      <c r="L138" s="8"/>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row>
    <row r="139" spans="1:12" ht="12.75">
      <c r="A139" s="76"/>
      <c r="B139" s="67" t="s">
        <v>340</v>
      </c>
      <c r="C139" s="68"/>
      <c r="D139" s="10">
        <v>3948</v>
      </c>
      <c r="E139" s="10">
        <v>3948</v>
      </c>
      <c r="F139" s="10">
        <f>955+984.33</f>
        <v>1939.33</v>
      </c>
      <c r="G139" s="7">
        <f>696.84+258.16+378.54+393.75+211.99</f>
        <v>1939.28</v>
      </c>
      <c r="H139" s="7">
        <v>211.99</v>
      </c>
      <c r="K139" s="8"/>
      <c r="L139" s="8"/>
    </row>
    <row r="140" spans="1:12" ht="25.5">
      <c r="A140" s="76"/>
      <c r="B140" s="67" t="s">
        <v>341</v>
      </c>
      <c r="C140" s="68"/>
      <c r="D140" s="10"/>
      <c r="E140" s="10"/>
      <c r="F140" s="10"/>
      <c r="G140" s="10"/>
      <c r="H140" s="10"/>
      <c r="K140" s="8"/>
      <c r="L140" s="8"/>
    </row>
    <row r="141" spans="1:12" ht="25.5">
      <c r="A141" s="76"/>
      <c r="B141" s="67" t="s">
        <v>304</v>
      </c>
      <c r="C141" s="68"/>
      <c r="D141" s="10">
        <v>13.09</v>
      </c>
      <c r="E141" s="10">
        <v>14.18</v>
      </c>
      <c r="F141" s="10">
        <f>4.18+3.46</f>
        <v>7.64</v>
      </c>
      <c r="G141" s="7">
        <f>1.55+2.63+1.01+1.24+0.99</f>
        <v>7.42</v>
      </c>
      <c r="H141" s="7">
        <v>0.99</v>
      </c>
      <c r="K141" s="8"/>
      <c r="L141" s="8"/>
    </row>
    <row r="142" spans="1:12" ht="12.75">
      <c r="A142" s="76"/>
      <c r="B142" s="125" t="s">
        <v>369</v>
      </c>
      <c r="C142" s="68"/>
      <c r="D142" s="10"/>
      <c r="E142" s="10"/>
      <c r="F142" s="10"/>
      <c r="G142" s="7">
        <f>-0.07-0.27-0.06</f>
        <v>-0.4</v>
      </c>
      <c r="H142" s="7">
        <v>-0.06</v>
      </c>
      <c r="K142" s="8"/>
      <c r="L142" s="8"/>
    </row>
    <row r="143" spans="1:12" ht="25.5">
      <c r="A143" s="66" t="s">
        <v>305</v>
      </c>
      <c r="B143" s="82" t="s">
        <v>306</v>
      </c>
      <c r="C143" s="68">
        <f aca="true" t="shared" si="46" ref="C143:H143">+C144+C146+C145</f>
        <v>0</v>
      </c>
      <c r="D143" s="68">
        <f t="shared" si="46"/>
        <v>1319</v>
      </c>
      <c r="E143" s="68">
        <f t="shared" si="46"/>
        <v>1319</v>
      </c>
      <c r="F143" s="68">
        <f t="shared" si="46"/>
        <v>579.93</v>
      </c>
      <c r="G143" s="68">
        <f t="shared" si="46"/>
        <v>521.7</v>
      </c>
      <c r="H143" s="68">
        <f t="shared" si="46"/>
        <v>92.68</v>
      </c>
      <c r="K143" s="8"/>
      <c r="L143" s="8"/>
    </row>
    <row r="144" spans="1:12" ht="12.75">
      <c r="A144" s="66"/>
      <c r="B144" s="80" t="s">
        <v>295</v>
      </c>
      <c r="C144" s="68"/>
      <c r="D144" s="10">
        <v>1319</v>
      </c>
      <c r="E144" s="10">
        <v>1319</v>
      </c>
      <c r="F144" s="10">
        <f>295.65+284.28</f>
        <v>579.93</v>
      </c>
      <c r="G144" s="7">
        <f>234.78+59.16+63.2+71.88+92.68</f>
        <v>521.7</v>
      </c>
      <c r="H144" s="7">
        <v>92.68</v>
      </c>
      <c r="K144" s="8"/>
      <c r="L144" s="8"/>
    </row>
    <row r="145" spans="1:12" ht="15">
      <c r="A145" s="66"/>
      <c r="B145" s="103" t="s">
        <v>344</v>
      </c>
      <c r="C145" s="68"/>
      <c r="D145" s="10"/>
      <c r="E145" s="10"/>
      <c r="F145" s="10"/>
      <c r="G145" s="7"/>
      <c r="H145" s="7"/>
      <c r="I145" s="29"/>
      <c r="J145" s="29"/>
      <c r="K145" s="8"/>
      <c r="L145" s="8"/>
    </row>
    <row r="146" spans="1:12" ht="25.5">
      <c r="A146" s="76"/>
      <c r="B146" s="80" t="s">
        <v>301</v>
      </c>
      <c r="C146" s="68"/>
      <c r="D146" s="10"/>
      <c r="E146" s="10"/>
      <c r="F146" s="10"/>
      <c r="G146" s="7"/>
      <c r="H146" s="7"/>
      <c r="I146" s="29"/>
      <c r="J146" s="29"/>
      <c r="K146" s="8"/>
      <c r="L146" s="8"/>
    </row>
    <row r="147" spans="1:12" ht="12.75">
      <c r="A147" s="76"/>
      <c r="B147" s="129" t="s">
        <v>369</v>
      </c>
      <c r="C147" s="68"/>
      <c r="D147" s="10"/>
      <c r="E147" s="10"/>
      <c r="F147" s="10"/>
      <c r="G147" s="7"/>
      <c r="H147" s="7"/>
      <c r="I147" s="29"/>
      <c r="J147" s="29"/>
      <c r="K147" s="8"/>
      <c r="L147" s="8"/>
    </row>
    <row r="148" spans="1:12" ht="12.75">
      <c r="A148" s="66" t="s">
        <v>307</v>
      </c>
      <c r="B148" s="64" t="s">
        <v>350</v>
      </c>
      <c r="C148" s="68"/>
      <c r="D148" s="68">
        <v>50</v>
      </c>
      <c r="E148" s="68">
        <v>50</v>
      </c>
      <c r="F148" s="68">
        <f>25.36+22.61</f>
        <v>47.97</v>
      </c>
      <c r="G148" s="68">
        <f>13.53+11.83+6.24+6.3+10.07</f>
        <v>47.97</v>
      </c>
      <c r="H148" s="68">
        <v>10.07</v>
      </c>
      <c r="I148" s="29"/>
      <c r="J148" s="29"/>
      <c r="K148" s="8"/>
      <c r="L148" s="8"/>
    </row>
    <row r="149" spans="1:12" ht="12.75">
      <c r="A149" s="66"/>
      <c r="B149" s="128" t="s">
        <v>369</v>
      </c>
      <c r="C149" s="68"/>
      <c r="D149" s="68"/>
      <c r="E149" s="68"/>
      <c r="F149" s="68"/>
      <c r="G149" s="68"/>
      <c r="H149" s="68"/>
      <c r="I149" s="29"/>
      <c r="J149" s="29"/>
      <c r="K149" s="8"/>
      <c r="L149" s="8"/>
    </row>
    <row r="150" spans="1:12" ht="12.75">
      <c r="A150" s="66" t="s">
        <v>308</v>
      </c>
      <c r="B150" s="64" t="s">
        <v>309</v>
      </c>
      <c r="C150" s="65">
        <f aca="true" t="shared" si="47" ref="C150:H150">+C151+C159</f>
        <v>0</v>
      </c>
      <c r="D150" s="65">
        <f t="shared" si="47"/>
        <v>84230</v>
      </c>
      <c r="E150" s="65">
        <f t="shared" si="47"/>
        <v>84140</v>
      </c>
      <c r="F150" s="65">
        <f t="shared" si="47"/>
        <v>43991.62</v>
      </c>
      <c r="G150" s="65">
        <f t="shared" si="47"/>
        <v>43699.71</v>
      </c>
      <c r="H150" s="65">
        <f t="shared" si="47"/>
        <v>7357.610000000001</v>
      </c>
      <c r="I150" s="29"/>
      <c r="J150" s="29"/>
      <c r="K150" s="8"/>
      <c r="L150" s="8"/>
    </row>
    <row r="151" spans="1:12" ht="12.75">
      <c r="A151" s="76" t="s">
        <v>310</v>
      </c>
      <c r="B151" s="69" t="s">
        <v>311</v>
      </c>
      <c r="C151" s="68">
        <f aca="true" t="shared" si="48" ref="C151:H151">C152+C156+C154+C157+C153+C155</f>
        <v>0</v>
      </c>
      <c r="D151" s="68">
        <f t="shared" si="48"/>
        <v>82890</v>
      </c>
      <c r="E151" s="68">
        <f t="shared" si="48"/>
        <v>82800</v>
      </c>
      <c r="F151" s="68">
        <f t="shared" si="48"/>
        <v>43236.15</v>
      </c>
      <c r="G151" s="68">
        <f t="shared" si="48"/>
        <v>42950.96</v>
      </c>
      <c r="H151" s="68">
        <f t="shared" si="48"/>
        <v>7261.2300000000005</v>
      </c>
      <c r="I151" s="29"/>
      <c r="J151" s="29"/>
      <c r="K151" s="8"/>
      <c r="L151" s="8"/>
    </row>
    <row r="152" spans="1:12" ht="12.75">
      <c r="A152" s="76"/>
      <c r="B152" s="67" t="s">
        <v>269</v>
      </c>
      <c r="C152" s="68"/>
      <c r="D152" s="10">
        <v>71830</v>
      </c>
      <c r="E152" s="10">
        <v>71740</v>
      </c>
      <c r="F152" s="10">
        <f>18520+19222.65</f>
        <v>37742.65</v>
      </c>
      <c r="G152" s="7">
        <f>12078+6442+6058.97+6535.68+6346.63</f>
        <v>37461.28</v>
      </c>
      <c r="H152" s="7">
        <v>6346.63</v>
      </c>
      <c r="K152" s="8"/>
      <c r="L152" s="8"/>
    </row>
    <row r="153" spans="1:12" ht="15">
      <c r="A153" s="76"/>
      <c r="B153" s="103" t="s">
        <v>344</v>
      </c>
      <c r="C153" s="68"/>
      <c r="D153" s="10">
        <v>11060</v>
      </c>
      <c r="E153" s="10">
        <v>11060</v>
      </c>
      <c r="F153" s="10">
        <f>2745.5+2748</f>
        <v>5493.5</v>
      </c>
      <c r="G153" s="7">
        <f>1829.93+915.23+914.97+914.95+914.6</f>
        <v>5489.68</v>
      </c>
      <c r="H153" s="7">
        <v>914.6</v>
      </c>
      <c r="K153" s="8"/>
      <c r="L153" s="8"/>
    </row>
    <row r="154" spans="1:12" ht="51">
      <c r="A154" s="76"/>
      <c r="B154" s="83" t="s">
        <v>366</v>
      </c>
      <c r="C154" s="68"/>
      <c r="D154" s="10"/>
      <c r="E154" s="10"/>
      <c r="F154" s="10"/>
      <c r="G154" s="7"/>
      <c r="H154" s="7"/>
      <c r="K154" s="8"/>
      <c r="L154" s="8"/>
    </row>
    <row r="155" spans="1:12" ht="25.5">
      <c r="A155" s="76"/>
      <c r="B155" s="83" t="s">
        <v>380</v>
      </c>
      <c r="C155" s="68"/>
      <c r="D155" s="10"/>
      <c r="E155" s="10"/>
      <c r="F155" s="10"/>
      <c r="G155" s="7"/>
      <c r="H155" s="7"/>
      <c r="K155" s="8"/>
      <c r="L155" s="8"/>
    </row>
    <row r="156" spans="1:12" ht="25.5">
      <c r="A156" s="76"/>
      <c r="B156" s="83" t="s">
        <v>381</v>
      </c>
      <c r="C156" s="68"/>
      <c r="D156" s="68"/>
      <c r="E156" s="68"/>
      <c r="F156" s="68"/>
      <c r="G156" s="68"/>
      <c r="H156" s="68"/>
      <c r="K156" s="8"/>
      <c r="L156" s="8"/>
    </row>
    <row r="157" spans="1:12" ht="13.5" customHeight="1">
      <c r="A157" s="76"/>
      <c r="B157" s="92" t="s">
        <v>342</v>
      </c>
      <c r="C157" s="68"/>
      <c r="D157" s="10"/>
      <c r="E157" s="10"/>
      <c r="F157" s="10"/>
      <c r="G157" s="7"/>
      <c r="H157" s="7"/>
      <c r="K157" s="8"/>
      <c r="L157" s="8"/>
    </row>
    <row r="158" spans="1:12" ht="13.5" customHeight="1">
      <c r="A158" s="76"/>
      <c r="B158" s="130" t="s">
        <v>369</v>
      </c>
      <c r="C158" s="68"/>
      <c r="D158" s="10"/>
      <c r="E158" s="10"/>
      <c r="F158" s="10"/>
      <c r="G158" s="7">
        <f>-22.4-0.94-2.55-9.71</f>
        <v>-35.6</v>
      </c>
      <c r="H158" s="7">
        <v>-9.71</v>
      </c>
      <c r="K158" s="8"/>
      <c r="L158" s="8"/>
    </row>
    <row r="159" spans="1:12" ht="12.75">
      <c r="A159" s="76" t="s">
        <v>316</v>
      </c>
      <c r="B159" s="69" t="s">
        <v>317</v>
      </c>
      <c r="C159" s="68">
        <f aca="true" t="shared" si="49" ref="C159:H159">C160+C161+C162</f>
        <v>0</v>
      </c>
      <c r="D159" s="68">
        <f t="shared" si="49"/>
        <v>1340</v>
      </c>
      <c r="E159" s="68">
        <f t="shared" si="49"/>
        <v>1340</v>
      </c>
      <c r="F159" s="68">
        <f t="shared" si="49"/>
        <v>755.4699999999999</v>
      </c>
      <c r="G159" s="68">
        <f t="shared" si="49"/>
        <v>748.7499999999999</v>
      </c>
      <c r="H159" s="68">
        <f t="shared" si="49"/>
        <v>96.38</v>
      </c>
      <c r="K159" s="8"/>
      <c r="L159" s="8"/>
    </row>
    <row r="160" spans="1:12" ht="15">
      <c r="A160" s="76"/>
      <c r="B160" s="103" t="s">
        <v>269</v>
      </c>
      <c r="C160" s="68"/>
      <c r="D160" s="10">
        <v>1144</v>
      </c>
      <c r="E160" s="10">
        <v>1144</v>
      </c>
      <c r="F160" s="10">
        <f>338+321.59</f>
        <v>659.5899999999999</v>
      </c>
      <c r="G160" s="10">
        <f>225.34+112.66+112.2+127.87+81.52</f>
        <v>659.5899999999999</v>
      </c>
      <c r="H160" s="10">
        <v>81.52</v>
      </c>
      <c r="I160" s="29"/>
      <c r="K160" s="8"/>
      <c r="L160" s="8"/>
    </row>
    <row r="161" spans="1:12" ht="15">
      <c r="A161" s="76"/>
      <c r="B161" s="103" t="s">
        <v>344</v>
      </c>
      <c r="C161" s="68"/>
      <c r="D161" s="10">
        <v>196</v>
      </c>
      <c r="E161" s="10">
        <v>196</v>
      </c>
      <c r="F161" s="10">
        <f>44.58+51.3</f>
        <v>95.88</v>
      </c>
      <c r="G161" s="10">
        <f>29.71+14.87+14.86+14.86+14.86</f>
        <v>89.16</v>
      </c>
      <c r="H161" s="10">
        <v>14.86</v>
      </c>
      <c r="I161" s="29"/>
      <c r="J161" s="29"/>
      <c r="K161" s="8"/>
      <c r="L161" s="8"/>
    </row>
    <row r="162" spans="1:12" ht="15">
      <c r="A162" s="76"/>
      <c r="B162" s="103" t="s">
        <v>365</v>
      </c>
      <c r="C162" s="68"/>
      <c r="D162" s="10"/>
      <c r="E162" s="10"/>
      <c r="F162" s="10"/>
      <c r="G162" s="10"/>
      <c r="H162" s="10"/>
      <c r="I162" s="29"/>
      <c r="J162" s="29"/>
      <c r="K162" s="8"/>
      <c r="L162" s="8"/>
    </row>
    <row r="163" spans="1:12" ht="15">
      <c r="A163" s="76"/>
      <c r="B163" s="115" t="s">
        <v>369</v>
      </c>
      <c r="C163" s="68"/>
      <c r="D163" s="10"/>
      <c r="E163" s="10"/>
      <c r="F163" s="10"/>
      <c r="G163" s="10"/>
      <c r="H163" s="10"/>
      <c r="I163" s="29"/>
      <c r="J163" s="29"/>
      <c r="K163" s="8"/>
      <c r="L163" s="8"/>
    </row>
    <row r="164" spans="1:12" ht="12.75">
      <c r="A164" s="66" t="s">
        <v>318</v>
      </c>
      <c r="B164" s="64" t="s">
        <v>319</v>
      </c>
      <c r="C164" s="68"/>
      <c r="D164" s="10">
        <v>658</v>
      </c>
      <c r="E164" s="10">
        <v>658</v>
      </c>
      <c r="F164" s="10">
        <f>157+163.67</f>
        <v>320.66999999999996</v>
      </c>
      <c r="G164" s="10">
        <f>104.14+52.86+52.33+56.98+54.36</f>
        <v>320.67</v>
      </c>
      <c r="H164" s="10">
        <v>54.36</v>
      </c>
      <c r="I164" s="29"/>
      <c r="J164" s="29"/>
      <c r="K164" s="8"/>
      <c r="L164" s="8"/>
    </row>
    <row r="165" spans="1:12" ht="12.75">
      <c r="A165" s="66"/>
      <c r="B165" s="124" t="s">
        <v>369</v>
      </c>
      <c r="C165" s="68"/>
      <c r="D165" s="10"/>
      <c r="E165" s="10"/>
      <c r="F165" s="10"/>
      <c r="G165" s="10"/>
      <c r="H165" s="10"/>
      <c r="I165" s="29"/>
      <c r="J165" s="29"/>
      <c r="K165" s="8"/>
      <c r="L165" s="8"/>
    </row>
    <row r="166" spans="1:12" ht="12.75">
      <c r="A166" s="66" t="s">
        <v>320</v>
      </c>
      <c r="B166" s="64" t="s">
        <v>355</v>
      </c>
      <c r="C166" s="68"/>
      <c r="D166" s="10">
        <v>1812.22</v>
      </c>
      <c r="E166" s="10">
        <v>1812.22</v>
      </c>
      <c r="F166" s="10">
        <v>1812.22</v>
      </c>
      <c r="G166" s="10">
        <f>184.7+1220.05+398.13+9.33</f>
        <v>1812.21</v>
      </c>
      <c r="H166" s="10">
        <v>9.33</v>
      </c>
      <c r="I166" s="29"/>
      <c r="J166" s="29"/>
      <c r="K166" s="8"/>
      <c r="L166" s="8"/>
    </row>
    <row r="167" spans="1:12" ht="12.75">
      <c r="A167" s="66"/>
      <c r="B167" s="124" t="s">
        <v>369</v>
      </c>
      <c r="C167" s="68"/>
      <c r="D167" s="10"/>
      <c r="E167" s="10"/>
      <c r="F167" s="10"/>
      <c r="G167" s="10">
        <f>-0.5-3.49-0.2-0.2-0.2</f>
        <v>-4.590000000000001</v>
      </c>
      <c r="H167" s="10">
        <v>-0.2</v>
      </c>
      <c r="I167" s="29"/>
      <c r="J167" s="29"/>
      <c r="K167" s="8"/>
      <c r="L167" s="8"/>
    </row>
    <row r="168" spans="1:12" ht="25.5">
      <c r="A168" s="66"/>
      <c r="B168" s="131" t="s">
        <v>370</v>
      </c>
      <c r="C168" s="68">
        <f aca="true" t="shared" si="50" ref="C168:H168">C83+C91+C104+C120+C122+C124+C129+C133+C137+C142+C147+C149+C158+C163+C165+C167</f>
        <v>0</v>
      </c>
      <c r="D168" s="68">
        <f t="shared" si="50"/>
        <v>0</v>
      </c>
      <c r="E168" s="68">
        <f t="shared" si="50"/>
        <v>0</v>
      </c>
      <c r="F168" s="68">
        <f t="shared" si="50"/>
        <v>0</v>
      </c>
      <c r="G168" s="68">
        <f t="shared" si="50"/>
        <v>-80.30000000000001</v>
      </c>
      <c r="H168" s="68">
        <f t="shared" si="50"/>
        <v>-14.86</v>
      </c>
      <c r="I168" s="29"/>
      <c r="J168" s="29"/>
      <c r="K168" s="8"/>
      <c r="L168" s="8"/>
    </row>
    <row r="169" spans="1:12" ht="25.5">
      <c r="A169" s="66" t="s">
        <v>357</v>
      </c>
      <c r="B169" s="64" t="s">
        <v>354</v>
      </c>
      <c r="C169" s="68">
        <f>C170</f>
        <v>0</v>
      </c>
      <c r="D169" s="68">
        <f aca="true" t="shared" si="51" ref="D169:H170">D170</f>
        <v>14785</v>
      </c>
      <c r="E169" s="68">
        <f t="shared" si="51"/>
        <v>14785</v>
      </c>
      <c r="F169" s="68">
        <f t="shared" si="51"/>
        <v>14785</v>
      </c>
      <c r="G169" s="68">
        <f t="shared" si="51"/>
        <v>14784.04</v>
      </c>
      <c r="H169" s="68">
        <f t="shared" si="51"/>
        <v>2498.38</v>
      </c>
      <c r="I169" s="29"/>
      <c r="J169" s="29"/>
      <c r="K169" s="8"/>
      <c r="L169" s="8"/>
    </row>
    <row r="170" spans="1:12" ht="12.75">
      <c r="A170" s="66" t="s">
        <v>358</v>
      </c>
      <c r="B170" s="64" t="s">
        <v>356</v>
      </c>
      <c r="C170" s="68">
        <f>C171</f>
        <v>0</v>
      </c>
      <c r="D170" s="68">
        <f t="shared" si="51"/>
        <v>14785</v>
      </c>
      <c r="E170" s="68">
        <f t="shared" si="51"/>
        <v>14785</v>
      </c>
      <c r="F170" s="68">
        <f t="shared" si="51"/>
        <v>14785</v>
      </c>
      <c r="G170" s="68">
        <f t="shared" si="51"/>
        <v>14784.04</v>
      </c>
      <c r="H170" s="68">
        <f t="shared" si="51"/>
        <v>2498.38</v>
      </c>
      <c r="I170" s="29"/>
      <c r="J170" s="29"/>
      <c r="K170" s="8"/>
      <c r="L170" s="8"/>
    </row>
    <row r="171" spans="1:12" ht="38.25">
      <c r="A171" s="66" t="s">
        <v>359</v>
      </c>
      <c r="B171" s="64" t="s">
        <v>362</v>
      </c>
      <c r="C171" s="68">
        <f aca="true" t="shared" si="52" ref="C171:H171">C172+C173</f>
        <v>0</v>
      </c>
      <c r="D171" s="68">
        <f t="shared" si="52"/>
        <v>14785</v>
      </c>
      <c r="E171" s="68">
        <f t="shared" si="52"/>
        <v>14785</v>
      </c>
      <c r="F171" s="68">
        <f t="shared" si="52"/>
        <v>14785</v>
      </c>
      <c r="G171" s="68">
        <f t="shared" si="52"/>
        <v>14784.04</v>
      </c>
      <c r="H171" s="68">
        <f t="shared" si="52"/>
        <v>2498.38</v>
      </c>
      <c r="I171" s="29"/>
      <c r="J171" s="29"/>
      <c r="K171" s="8"/>
      <c r="L171" s="8"/>
    </row>
    <row r="172" spans="1:12" s="121" customFormat="1" ht="60" customHeight="1">
      <c r="A172" s="117"/>
      <c r="B172" s="122" t="s">
        <v>367</v>
      </c>
      <c r="C172" s="118"/>
      <c r="D172" s="119">
        <v>13141</v>
      </c>
      <c r="E172" s="119">
        <v>13141</v>
      </c>
      <c r="F172" s="119">
        <f>6421.23+6420.77+299</f>
        <v>13141</v>
      </c>
      <c r="G172" s="119">
        <f>4355.69+2065.52+2133.85+2360.03+2225.51</f>
        <v>13140.6</v>
      </c>
      <c r="H172" s="119">
        <v>2225.51</v>
      </c>
      <c r="I172" s="120"/>
      <c r="J172" s="120"/>
      <c r="K172" s="120"/>
      <c r="L172" s="120"/>
    </row>
    <row r="173" spans="1:12" s="121" customFormat="1" ht="27" customHeight="1">
      <c r="A173" s="117"/>
      <c r="B173" s="122" t="s">
        <v>368</v>
      </c>
      <c r="C173" s="118"/>
      <c r="D173" s="119">
        <v>1644</v>
      </c>
      <c r="E173" s="119">
        <v>1644</v>
      </c>
      <c r="F173" s="119">
        <f>824.09+825.91-6</f>
        <v>1644</v>
      </c>
      <c r="G173" s="119">
        <f>597.73+226.36+261.19+285.29+272.87</f>
        <v>1643.44</v>
      </c>
      <c r="H173" s="119">
        <v>272.87</v>
      </c>
      <c r="I173" s="120"/>
      <c r="J173" s="120"/>
      <c r="K173" s="120"/>
      <c r="L173" s="120"/>
    </row>
    <row r="174" spans="1:12" ht="12.75">
      <c r="A174" s="66">
        <v>68.05</v>
      </c>
      <c r="B174" s="84" t="s">
        <v>321</v>
      </c>
      <c r="C174" s="74">
        <f>+C175</f>
        <v>0</v>
      </c>
      <c r="D174" s="74">
        <f aca="true" t="shared" si="53" ref="D174:H176">+D175</f>
        <v>0</v>
      </c>
      <c r="E174" s="74">
        <f t="shared" si="53"/>
        <v>13451.61</v>
      </c>
      <c r="F174" s="74">
        <f t="shared" si="53"/>
        <v>7104.61</v>
      </c>
      <c r="G174" s="74">
        <f t="shared" si="53"/>
        <v>7104.61</v>
      </c>
      <c r="H174" s="74">
        <f t="shared" si="53"/>
        <v>741.78</v>
      </c>
      <c r="I174" s="29"/>
      <c r="J174" s="29"/>
      <c r="K174" s="8"/>
      <c r="L174" s="8"/>
    </row>
    <row r="175" spans="1:12" ht="12.75">
      <c r="A175" s="66" t="s">
        <v>322</v>
      </c>
      <c r="B175" s="84" t="s">
        <v>152</v>
      </c>
      <c r="C175" s="74">
        <f>+C176</f>
        <v>0</v>
      </c>
      <c r="D175" s="74">
        <f t="shared" si="53"/>
        <v>0</v>
      </c>
      <c r="E175" s="74">
        <f t="shared" si="53"/>
        <v>13451.61</v>
      </c>
      <c r="F175" s="74">
        <f t="shared" si="53"/>
        <v>7104.61</v>
      </c>
      <c r="G175" s="74">
        <f t="shared" si="53"/>
        <v>7104.61</v>
      </c>
      <c r="H175" s="74">
        <f t="shared" si="53"/>
        <v>741.78</v>
      </c>
      <c r="I175" s="29"/>
      <c r="J175" s="29"/>
      <c r="K175" s="8"/>
      <c r="L175" s="8"/>
    </row>
    <row r="176" spans="1:12" ht="12.75">
      <c r="A176" s="66" t="s">
        <v>323</v>
      </c>
      <c r="B176" s="64" t="s">
        <v>338</v>
      </c>
      <c r="C176" s="74">
        <f>+C177</f>
        <v>0</v>
      </c>
      <c r="D176" s="74">
        <f t="shared" si="53"/>
        <v>0</v>
      </c>
      <c r="E176" s="74">
        <f t="shared" si="53"/>
        <v>13451.61</v>
      </c>
      <c r="F176" s="74">
        <f t="shared" si="53"/>
        <v>7104.61</v>
      </c>
      <c r="G176" s="74">
        <f t="shared" si="53"/>
        <v>7104.61</v>
      </c>
      <c r="H176" s="74">
        <f t="shared" si="53"/>
        <v>741.78</v>
      </c>
      <c r="I176" s="29"/>
      <c r="K176" s="8"/>
      <c r="L176" s="8"/>
    </row>
    <row r="177" spans="1:12" ht="12.75">
      <c r="A177" s="76" t="s">
        <v>324</v>
      </c>
      <c r="B177" s="85" t="s">
        <v>325</v>
      </c>
      <c r="C177" s="65">
        <f aca="true" t="shared" si="54" ref="C177:H177">C178</f>
        <v>0</v>
      </c>
      <c r="D177" s="65">
        <f t="shared" si="54"/>
        <v>0</v>
      </c>
      <c r="E177" s="65">
        <f t="shared" si="54"/>
        <v>13451.61</v>
      </c>
      <c r="F177" s="65">
        <f t="shared" si="54"/>
        <v>7104.61</v>
      </c>
      <c r="G177" s="65">
        <f t="shared" si="54"/>
        <v>7104.61</v>
      </c>
      <c r="H177" s="65">
        <f t="shared" si="54"/>
        <v>741.78</v>
      </c>
      <c r="I177" s="29"/>
      <c r="K177" s="8"/>
      <c r="L177" s="8"/>
    </row>
    <row r="178" spans="1:12" ht="12.75">
      <c r="A178" s="76" t="s">
        <v>326</v>
      </c>
      <c r="B178" s="85" t="s">
        <v>327</v>
      </c>
      <c r="C178" s="65">
        <f aca="true" t="shared" si="55" ref="C178:H178">C180+C181+C182</f>
        <v>0</v>
      </c>
      <c r="D178" s="65">
        <f t="shared" si="55"/>
        <v>0</v>
      </c>
      <c r="E178" s="65">
        <f t="shared" si="55"/>
        <v>13451.61</v>
      </c>
      <c r="F178" s="65">
        <f t="shared" si="55"/>
        <v>7104.61</v>
      </c>
      <c r="G178" s="65">
        <f t="shared" si="55"/>
        <v>7104.61</v>
      </c>
      <c r="H178" s="65">
        <f t="shared" si="55"/>
        <v>741.78</v>
      </c>
      <c r="I178" s="29"/>
      <c r="K178" s="8"/>
      <c r="L178" s="8"/>
    </row>
    <row r="179" spans="1:8" ht="12.75">
      <c r="A179" s="66" t="s">
        <v>328</v>
      </c>
      <c r="B179" s="84" t="s">
        <v>329</v>
      </c>
      <c r="C179" s="65">
        <f aca="true" t="shared" si="56" ref="C179:H179">C180</f>
        <v>0</v>
      </c>
      <c r="D179" s="65">
        <f t="shared" si="56"/>
        <v>0</v>
      </c>
      <c r="E179" s="65">
        <f t="shared" si="56"/>
        <v>6226</v>
      </c>
      <c r="F179" s="65">
        <f t="shared" si="56"/>
        <v>3507</v>
      </c>
      <c r="G179" s="65">
        <f t="shared" si="56"/>
        <v>3507</v>
      </c>
      <c r="H179" s="65">
        <f t="shared" si="56"/>
        <v>370.02</v>
      </c>
    </row>
    <row r="180" spans="1:8" ht="12.75">
      <c r="A180" s="76" t="s">
        <v>330</v>
      </c>
      <c r="B180" s="85" t="s">
        <v>331</v>
      </c>
      <c r="C180" s="68"/>
      <c r="D180" s="10"/>
      <c r="E180" s="10">
        <f>6194+32</f>
        <v>6226</v>
      </c>
      <c r="F180" s="10">
        <f>1721+32+1412+342</f>
        <v>3507</v>
      </c>
      <c r="G180" s="7">
        <f>1140.5+420.08+160.42+32+460+220+469.98+234+370+0.02</f>
        <v>3507</v>
      </c>
      <c r="H180" s="140">
        <v>370.02</v>
      </c>
    </row>
    <row r="181" spans="1:8" ht="12.75">
      <c r="A181" s="76" t="s">
        <v>332</v>
      </c>
      <c r="B181" s="85" t="s">
        <v>333</v>
      </c>
      <c r="C181" s="68"/>
      <c r="D181" s="10"/>
      <c r="E181" s="10">
        <f>7200+25.61</f>
        <v>7225.61</v>
      </c>
      <c r="F181" s="10">
        <f>1761+25.61+1706+105</f>
        <v>3597.6099999999997</v>
      </c>
      <c r="G181" s="7">
        <f>1122.17+401+237.83+25.61-0.02+459.98+276.48+470.02+232.78+370.01+1.75</f>
        <v>3597.6099999999997</v>
      </c>
      <c r="H181" s="7">
        <v>371.76</v>
      </c>
    </row>
    <row r="182" spans="1:8" ht="25.5">
      <c r="A182" s="76"/>
      <c r="B182" s="131" t="s">
        <v>371</v>
      </c>
      <c r="C182" s="68"/>
      <c r="D182" s="10"/>
      <c r="E182" s="10"/>
      <c r="F182" s="10"/>
      <c r="G182" s="7">
        <v>0</v>
      </c>
      <c r="H182" s="7"/>
    </row>
    <row r="183" spans="1:8" ht="12.75">
      <c r="A183" s="66" t="s">
        <v>334</v>
      </c>
      <c r="B183" s="64" t="s">
        <v>335</v>
      </c>
      <c r="C183" s="65">
        <f aca="true" t="shared" si="57" ref="C183:H183">+C184</f>
        <v>0</v>
      </c>
      <c r="D183" s="65">
        <f t="shared" si="57"/>
        <v>0</v>
      </c>
      <c r="E183" s="65">
        <f t="shared" si="57"/>
        <v>0</v>
      </c>
      <c r="F183" s="65">
        <f t="shared" si="57"/>
        <v>0</v>
      </c>
      <c r="G183" s="65">
        <f t="shared" si="57"/>
        <v>0</v>
      </c>
      <c r="H183" s="65">
        <f t="shared" si="57"/>
        <v>0</v>
      </c>
    </row>
    <row r="184" spans="1:8" ht="12.75">
      <c r="A184" s="76" t="s">
        <v>336</v>
      </c>
      <c r="B184" s="69" t="s">
        <v>337</v>
      </c>
      <c r="C184" s="86"/>
      <c r="D184" s="10"/>
      <c r="E184" s="10"/>
      <c r="F184" s="10"/>
      <c r="G184" s="7"/>
      <c r="H184" s="7"/>
    </row>
    <row r="190" spans="2:6" ht="15">
      <c r="B190" s="135" t="s">
        <v>139</v>
      </c>
      <c r="C190" s="136"/>
      <c r="D190" s="136"/>
      <c r="E190" s="136" t="s">
        <v>384</v>
      </c>
      <c r="F190" s="135"/>
    </row>
    <row r="191" spans="2:6" ht="12.75">
      <c r="B191" s="12" t="s">
        <v>383</v>
      </c>
      <c r="C191" s="138"/>
      <c r="D191" s="138"/>
      <c r="E191" s="138" t="s">
        <v>385</v>
      </c>
      <c r="F191" s="12"/>
    </row>
  </sheetData>
  <sheetProtection/>
  <protectedRanges>
    <protectedRange sqref="B4:B5 C3:C5" name="Zonă1_1"/>
    <protectedRange sqref="G36:H39 G141:H142 G66:H66 G94:H99 G106:H114 G59:H63 G76:H80 G87:H91 G51:H54 G43:H48 G139:H139 G116:H120 G30:H34 G102:H104 G127:H127" name="Zonă3"/>
    <protectedRange sqref="B3" name="Zonă1_1_1_1_1_1"/>
  </protectedRanges>
  <printOptions horizontalCentered="1"/>
  <pageMargins left="0.5" right="0.5" top="0.21" bottom="0.18" header="0.17" footer="0.17"/>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A1:C162"/>
  <sheetViews>
    <sheetView tabSelected="1" zoomScalePageLayoutView="0" workbookViewId="0" topLeftCell="A1">
      <selection activeCell="F6" sqref="F6"/>
    </sheetView>
  </sheetViews>
  <sheetFormatPr defaultColWidth="9.140625" defaultRowHeight="12.75"/>
  <cols>
    <col min="1" max="1" width="17.57421875" style="0" customWidth="1"/>
    <col min="2" max="2" width="23.7109375" style="0" customWidth="1"/>
    <col min="3" max="3" width="9.140625" style="145" customWidth="1"/>
  </cols>
  <sheetData>
    <row r="1" spans="1:2" ht="63.75">
      <c r="A1" s="146"/>
      <c r="B1" s="146" t="s">
        <v>390</v>
      </c>
    </row>
    <row r="2" spans="1:2" ht="89.25">
      <c r="A2" s="147" t="s">
        <v>392</v>
      </c>
      <c r="B2" s="147" t="s">
        <v>391</v>
      </c>
    </row>
    <row r="3" spans="1:2" ht="13.5" thickBot="1">
      <c r="A3" s="150"/>
      <c r="B3" s="151">
        <v>42916</v>
      </c>
    </row>
    <row r="4" spans="1:2" ht="13.5" thickBot="1">
      <c r="A4" s="152">
        <v>22</v>
      </c>
      <c r="B4" s="152">
        <v>4</v>
      </c>
    </row>
    <row r="5" spans="1:3" ht="13.5" thickBot="1">
      <c r="A5" s="153">
        <v>130595.95</v>
      </c>
      <c r="B5" s="153">
        <v>129134.92</v>
      </c>
      <c r="C5" s="145">
        <f>B5/A5</f>
        <v>0.9888125933461184</v>
      </c>
    </row>
    <row r="6" spans="1:3" ht="13.5" thickBot="1">
      <c r="A6" s="153">
        <v>130595.95</v>
      </c>
      <c r="B6" s="153">
        <v>129134.92</v>
      </c>
      <c r="C6" s="145">
        <f aca="true" t="shared" si="0" ref="C6:C69">B6/A6</f>
        <v>0.9888125933461184</v>
      </c>
    </row>
    <row r="7" spans="1:3" ht="13.5" thickBot="1">
      <c r="A7" s="153">
        <v>2311.64</v>
      </c>
      <c r="B7" s="153">
        <v>2286.45</v>
      </c>
      <c r="C7" s="145">
        <f t="shared" si="0"/>
        <v>0.9891029745116021</v>
      </c>
    </row>
    <row r="8" spans="1:3" ht="13.5" thickBot="1">
      <c r="A8" s="153">
        <v>105895.62</v>
      </c>
      <c r="B8" s="153">
        <v>104541.04</v>
      </c>
      <c r="C8" s="145">
        <f t="shared" si="0"/>
        <v>0.9872083472385355</v>
      </c>
    </row>
    <row r="9" spans="1:2" ht="13.5" thickBot="1">
      <c r="A9" s="154">
        <v>0</v>
      </c>
      <c r="B9" s="154">
        <v>0</v>
      </c>
    </row>
    <row r="10" spans="1:3" ht="13.5" thickBot="1">
      <c r="A10" s="153">
        <v>14785</v>
      </c>
      <c r="B10" s="153">
        <v>14784.04</v>
      </c>
      <c r="C10" s="145">
        <f t="shared" si="0"/>
        <v>0.9999350693270207</v>
      </c>
    </row>
    <row r="11" spans="1:3" ht="13.5" thickBot="1">
      <c r="A11" s="153">
        <v>7603.69</v>
      </c>
      <c r="B11" s="153">
        <v>7603.69</v>
      </c>
      <c r="C11" s="145">
        <f t="shared" si="0"/>
        <v>1</v>
      </c>
    </row>
    <row r="12" spans="1:2" ht="13.5" thickBot="1">
      <c r="A12" s="154">
        <v>0</v>
      </c>
      <c r="B12" s="154">
        <v>0</v>
      </c>
    </row>
    <row r="13" spans="1:2" ht="13.5" thickBot="1">
      <c r="A13" s="154">
        <v>0</v>
      </c>
      <c r="B13" s="154">
        <v>0</v>
      </c>
    </row>
    <row r="14" spans="1:2" ht="13.5" thickBot="1">
      <c r="A14" s="154">
        <v>0</v>
      </c>
      <c r="B14" s="154">
        <v>0</v>
      </c>
    </row>
    <row r="15" spans="1:3" ht="13.5" thickBot="1">
      <c r="A15" s="153">
        <v>130096.87</v>
      </c>
      <c r="B15" s="153">
        <v>128716.14</v>
      </c>
      <c r="C15" s="145">
        <f t="shared" si="0"/>
        <v>0.9893869083860357</v>
      </c>
    </row>
    <row r="16" spans="1:3" ht="13.5" thickBot="1">
      <c r="A16" s="153">
        <v>130096.87</v>
      </c>
      <c r="B16" s="153">
        <v>128716.14</v>
      </c>
      <c r="C16" s="145">
        <f t="shared" si="0"/>
        <v>0.9893869083860357</v>
      </c>
    </row>
    <row r="17" spans="1:3" ht="13.5" thickBot="1">
      <c r="A17" s="153">
        <v>14785</v>
      </c>
      <c r="B17" s="153">
        <v>14784.04</v>
      </c>
      <c r="C17" s="145">
        <f t="shared" si="0"/>
        <v>0.9999350693270207</v>
      </c>
    </row>
    <row r="18" spans="1:3" ht="13.5" thickBot="1">
      <c r="A18" s="153">
        <v>7603.69</v>
      </c>
      <c r="B18" s="153">
        <v>7603.69</v>
      </c>
      <c r="C18" s="145">
        <f t="shared" si="0"/>
        <v>1</v>
      </c>
    </row>
    <row r="19" spans="1:2" ht="13.5" thickBot="1">
      <c r="A19" s="154">
        <v>0</v>
      </c>
      <c r="B19" s="154">
        <v>0</v>
      </c>
    </row>
    <row r="20" spans="1:3" ht="13.5" thickBot="1">
      <c r="A20" s="153">
        <v>122992.26</v>
      </c>
      <c r="B20" s="153">
        <v>121531.23</v>
      </c>
      <c r="C20" s="145">
        <f t="shared" si="0"/>
        <v>0.9881209598067391</v>
      </c>
    </row>
    <row r="21" spans="1:3" ht="13.5" thickBot="1">
      <c r="A21" s="153">
        <v>122992.26</v>
      </c>
      <c r="B21" s="153">
        <v>121611.53</v>
      </c>
      <c r="C21" s="145">
        <f t="shared" si="0"/>
        <v>0.9887738464192788</v>
      </c>
    </row>
    <row r="22" spans="1:3" ht="13.5" thickBot="1">
      <c r="A22" s="153">
        <v>14785</v>
      </c>
      <c r="B22" s="153">
        <v>14784.04</v>
      </c>
      <c r="C22" s="145">
        <f t="shared" si="0"/>
        <v>0.9999350693270207</v>
      </c>
    </row>
    <row r="23" spans="1:3" ht="13.5" thickBot="1">
      <c r="A23" s="153">
        <v>2311.64</v>
      </c>
      <c r="B23" s="153">
        <v>2286.45</v>
      </c>
      <c r="C23" s="145">
        <f t="shared" si="0"/>
        <v>0.9891029745116021</v>
      </c>
    </row>
    <row r="24" spans="1:3" ht="13.5" thickBot="1">
      <c r="A24" s="153">
        <v>1885.24</v>
      </c>
      <c r="B24" s="153">
        <v>1869.53</v>
      </c>
      <c r="C24" s="145">
        <f t="shared" si="0"/>
        <v>0.9916668434788144</v>
      </c>
    </row>
    <row r="25" spans="1:3" ht="13.5" thickBot="1">
      <c r="A25" s="153">
        <v>1859.44</v>
      </c>
      <c r="B25" s="155">
        <v>1850.21</v>
      </c>
      <c r="C25" s="145">
        <f t="shared" si="0"/>
        <v>0.9950361399130921</v>
      </c>
    </row>
    <row r="26" spans="1:3" ht="13.5" thickBot="1">
      <c r="A26" s="154">
        <v>10.7</v>
      </c>
      <c r="B26" s="149">
        <v>8.95</v>
      </c>
      <c r="C26" s="145">
        <f t="shared" si="0"/>
        <v>0.8364485981308412</v>
      </c>
    </row>
    <row r="27" spans="1:3" ht="13.5" thickBot="1">
      <c r="A27" s="154">
        <v>0.6</v>
      </c>
      <c r="B27" s="149">
        <v>0.59</v>
      </c>
      <c r="C27" s="145">
        <f t="shared" si="0"/>
        <v>0.9833333333333333</v>
      </c>
    </row>
    <row r="28" spans="1:2" ht="13.5" thickBot="1">
      <c r="A28" s="156"/>
      <c r="B28" s="148"/>
    </row>
    <row r="29" spans="1:3" ht="13.5" thickBot="1">
      <c r="A29" s="154">
        <v>14.5</v>
      </c>
      <c r="B29" s="149">
        <v>9.78</v>
      </c>
      <c r="C29" s="145">
        <f t="shared" si="0"/>
        <v>0.6744827586206896</v>
      </c>
    </row>
    <row r="30" spans="1:3" ht="13.5" thickBot="1">
      <c r="A30" s="154">
        <v>426.4</v>
      </c>
      <c r="B30" s="154">
        <v>416.92</v>
      </c>
      <c r="C30" s="145">
        <f t="shared" si="0"/>
        <v>0.977767354596623</v>
      </c>
    </row>
    <row r="31" spans="1:3" ht="13.5" thickBot="1">
      <c r="A31" s="154">
        <v>300.92</v>
      </c>
      <c r="B31" s="149">
        <v>295.58</v>
      </c>
      <c r="C31" s="145">
        <f t="shared" si="0"/>
        <v>0.9822544197793432</v>
      </c>
    </row>
    <row r="32" spans="1:3" ht="13.5" thickBot="1">
      <c r="A32" s="154">
        <v>9.57</v>
      </c>
      <c r="B32" s="149">
        <v>9.31</v>
      </c>
      <c r="C32" s="145">
        <f t="shared" si="0"/>
        <v>0.9728317659352143</v>
      </c>
    </row>
    <row r="33" spans="1:3" ht="13.5" thickBot="1">
      <c r="A33" s="154">
        <v>99.16</v>
      </c>
      <c r="B33" s="149">
        <v>97.29</v>
      </c>
      <c r="C33" s="145">
        <f t="shared" si="0"/>
        <v>0.9811415893505446</v>
      </c>
    </row>
    <row r="34" spans="1:3" ht="13.5" thickBot="1">
      <c r="A34" s="154">
        <v>3.06</v>
      </c>
      <c r="B34" s="149">
        <v>2.82</v>
      </c>
      <c r="C34" s="145">
        <f t="shared" si="0"/>
        <v>0.9215686274509803</v>
      </c>
    </row>
    <row r="35" spans="1:3" ht="13.5" thickBot="1">
      <c r="A35" s="154">
        <v>13.69</v>
      </c>
      <c r="B35" s="154">
        <v>11.92</v>
      </c>
      <c r="C35" s="145">
        <f t="shared" si="0"/>
        <v>0.8707085463842221</v>
      </c>
    </row>
    <row r="36" spans="1:3" ht="13.5" thickBot="1">
      <c r="A36" s="153">
        <v>1885.24</v>
      </c>
      <c r="B36" s="153">
        <v>1869.53</v>
      </c>
      <c r="C36" s="145">
        <f t="shared" si="0"/>
        <v>0.9916668434788144</v>
      </c>
    </row>
    <row r="37" spans="1:3" ht="13.5" thickBot="1">
      <c r="A37" s="153">
        <v>105895.62</v>
      </c>
      <c r="B37" s="153">
        <v>104541.04</v>
      </c>
      <c r="C37" s="145">
        <f t="shared" si="0"/>
        <v>0.9872083472385355</v>
      </c>
    </row>
    <row r="38" spans="1:3" ht="13.5" thickBot="1">
      <c r="A38" s="153">
        <v>105878.84</v>
      </c>
      <c r="B38" s="153">
        <v>104524.81</v>
      </c>
      <c r="C38" s="145">
        <f t="shared" si="0"/>
        <v>0.987211514595362</v>
      </c>
    </row>
    <row r="39" spans="1:3" ht="13.5" thickBot="1">
      <c r="A39" s="154">
        <v>5.5</v>
      </c>
      <c r="B39" s="149">
        <v>5.49</v>
      </c>
      <c r="C39" s="145">
        <f t="shared" si="0"/>
        <v>0.9981818181818182</v>
      </c>
    </row>
    <row r="40" spans="1:3" ht="13.5" thickBot="1">
      <c r="A40" s="154">
        <v>1.5</v>
      </c>
      <c r="B40" s="149">
        <v>1.48</v>
      </c>
      <c r="C40" s="145">
        <f t="shared" si="0"/>
        <v>0.9866666666666667</v>
      </c>
    </row>
    <row r="41" spans="1:3" ht="13.5" thickBot="1">
      <c r="A41" s="154">
        <v>34.68</v>
      </c>
      <c r="B41" s="149">
        <v>34.48</v>
      </c>
      <c r="C41" s="145">
        <f t="shared" si="0"/>
        <v>0.994232987312572</v>
      </c>
    </row>
    <row r="42" spans="1:3" ht="13.5" thickBot="1">
      <c r="A42" s="154">
        <v>2.4</v>
      </c>
      <c r="B42" s="149">
        <v>2.36</v>
      </c>
      <c r="C42" s="145">
        <f t="shared" si="0"/>
        <v>0.9833333333333333</v>
      </c>
    </row>
    <row r="43" spans="1:3" ht="13.5" thickBot="1">
      <c r="A43" s="154">
        <v>4</v>
      </c>
      <c r="B43" s="149">
        <v>4</v>
      </c>
      <c r="C43" s="145">
        <f t="shared" si="0"/>
        <v>1</v>
      </c>
    </row>
    <row r="44" spans="1:2" ht="13.5" thickBot="1">
      <c r="A44" s="154">
        <v>0</v>
      </c>
      <c r="B44" s="149">
        <v>0</v>
      </c>
    </row>
    <row r="45" spans="1:3" ht="13.5" thickBot="1">
      <c r="A45" s="154">
        <v>20.99</v>
      </c>
      <c r="B45" s="154">
        <v>20.16</v>
      </c>
      <c r="C45" s="145">
        <f t="shared" si="0"/>
        <v>0.9604573606479276</v>
      </c>
    </row>
    <row r="46" spans="1:3" ht="15.75" thickBot="1">
      <c r="A46" s="157">
        <v>105730.83</v>
      </c>
      <c r="B46" s="157">
        <v>104391.1</v>
      </c>
      <c r="C46" s="145">
        <f t="shared" si="0"/>
        <v>0.9873288614115675</v>
      </c>
    </row>
    <row r="47" spans="1:3" ht="13.5" thickBot="1">
      <c r="A47" s="154">
        <v>28.2</v>
      </c>
      <c r="B47" s="149">
        <v>28.2</v>
      </c>
      <c r="C47" s="145">
        <f t="shared" si="0"/>
        <v>1</v>
      </c>
    </row>
    <row r="48" spans="1:3" ht="13.5" thickBot="1">
      <c r="A48" s="154">
        <v>78.94</v>
      </c>
      <c r="B48" s="154">
        <v>65.74</v>
      </c>
      <c r="C48" s="145">
        <f t="shared" si="0"/>
        <v>0.832784393210033</v>
      </c>
    </row>
    <row r="49" spans="1:2" ht="13.5" thickBot="1">
      <c r="A49" s="156"/>
      <c r="B49" s="156"/>
    </row>
    <row r="50" spans="1:3" ht="13.5" thickBot="1">
      <c r="A50" s="154">
        <v>8.44</v>
      </c>
      <c r="B50" s="154">
        <v>3.52</v>
      </c>
      <c r="C50" s="145">
        <f t="shared" si="0"/>
        <v>0.4170616113744076</v>
      </c>
    </row>
    <row r="51" spans="1:2" ht="13.5" thickBot="1">
      <c r="A51" s="156"/>
      <c r="B51" s="156"/>
    </row>
    <row r="52" spans="1:3" ht="13.5" thickBot="1">
      <c r="A52" s="154">
        <v>8</v>
      </c>
      <c r="B52" s="154">
        <v>7.97</v>
      </c>
      <c r="C52" s="145">
        <f t="shared" si="0"/>
        <v>0.99625</v>
      </c>
    </row>
    <row r="53" spans="1:3" ht="13.5" thickBot="1">
      <c r="A53" s="154">
        <v>8</v>
      </c>
      <c r="B53" s="154">
        <v>7.97</v>
      </c>
      <c r="C53" s="145">
        <f t="shared" si="0"/>
        <v>0.99625</v>
      </c>
    </row>
    <row r="54" spans="1:3" ht="13.5" thickBot="1">
      <c r="A54" s="154">
        <v>5.4</v>
      </c>
      <c r="B54" s="154">
        <v>5.14</v>
      </c>
      <c r="C54" s="145">
        <f t="shared" si="0"/>
        <v>0.9518518518518517</v>
      </c>
    </row>
    <row r="55" spans="1:3" ht="13.5" thickBot="1">
      <c r="A55" s="154">
        <v>5.4</v>
      </c>
      <c r="B55" s="149">
        <v>5.14</v>
      </c>
      <c r="C55" s="145">
        <f t="shared" si="0"/>
        <v>0.9518518518518517</v>
      </c>
    </row>
    <row r="56" spans="1:2" ht="13.5" thickBot="1">
      <c r="A56" s="156"/>
      <c r="B56" s="148"/>
    </row>
    <row r="57" spans="1:3" ht="13.5" thickBot="1">
      <c r="A57" s="154">
        <v>1.51</v>
      </c>
      <c r="B57" s="149">
        <v>1.5</v>
      </c>
      <c r="C57" s="145">
        <f t="shared" si="0"/>
        <v>0.9933774834437086</v>
      </c>
    </row>
    <row r="58" spans="1:2" ht="13.5" thickBot="1">
      <c r="A58" s="156"/>
      <c r="B58" s="148"/>
    </row>
    <row r="59" spans="1:2" ht="13.5" thickBot="1">
      <c r="A59" s="156"/>
      <c r="B59" s="148"/>
    </row>
    <row r="60" spans="1:3" ht="13.5" thickBot="1">
      <c r="A60" s="154">
        <v>1</v>
      </c>
      <c r="B60" s="154">
        <v>1</v>
      </c>
      <c r="C60" s="145">
        <f t="shared" si="0"/>
        <v>1</v>
      </c>
    </row>
    <row r="61" spans="1:3" ht="13.5" thickBot="1">
      <c r="A61" s="154">
        <v>0.87</v>
      </c>
      <c r="B61" s="154">
        <v>0.62</v>
      </c>
      <c r="C61" s="145">
        <f t="shared" si="0"/>
        <v>0.7126436781609196</v>
      </c>
    </row>
    <row r="62" spans="1:2" ht="13.5" thickBot="1">
      <c r="A62" s="156"/>
      <c r="B62" s="148"/>
    </row>
    <row r="63" spans="1:3" ht="13.5" thickBot="1">
      <c r="A63" s="154">
        <v>0.87</v>
      </c>
      <c r="B63" s="154">
        <v>0.62</v>
      </c>
      <c r="C63" s="145">
        <f t="shared" si="0"/>
        <v>0.7126436781609196</v>
      </c>
    </row>
    <row r="64" spans="1:2" ht="13.5" thickBot="1">
      <c r="A64" s="154">
        <v>0</v>
      </c>
      <c r="B64" s="154">
        <v>0</v>
      </c>
    </row>
    <row r="65" spans="1:2" ht="13.5" thickBot="1">
      <c r="A65" s="154">
        <v>0</v>
      </c>
      <c r="B65" s="154">
        <v>0</v>
      </c>
    </row>
    <row r="66" spans="1:2" ht="13.5" thickBot="1">
      <c r="A66" s="156"/>
      <c r="B66" s="156"/>
    </row>
    <row r="67" spans="1:2" ht="13.5" thickBot="1">
      <c r="A67" s="158">
        <v>0</v>
      </c>
      <c r="B67" s="158">
        <v>0</v>
      </c>
    </row>
    <row r="68" spans="1:2" ht="13.5" thickBot="1">
      <c r="A68" s="156"/>
      <c r="B68" s="156"/>
    </row>
    <row r="69" spans="1:2" ht="13.5" thickBot="1">
      <c r="A69" s="154">
        <v>0</v>
      </c>
      <c r="B69" s="154">
        <v>0</v>
      </c>
    </row>
    <row r="70" spans="1:2" ht="13.5" thickBot="1">
      <c r="A70" s="154">
        <v>0</v>
      </c>
      <c r="B70" s="154">
        <v>0</v>
      </c>
    </row>
    <row r="71" spans="1:2" ht="13.5" thickBot="1">
      <c r="A71" s="154">
        <v>0</v>
      </c>
      <c r="B71" s="154">
        <v>0</v>
      </c>
    </row>
    <row r="72" spans="1:2" ht="13.5" thickBot="1">
      <c r="A72" s="156"/>
      <c r="B72" s="148"/>
    </row>
    <row r="73" spans="1:2" ht="13.5" thickBot="1">
      <c r="A73" s="156"/>
      <c r="B73" s="148"/>
    </row>
    <row r="74" spans="1:2" ht="13.5" thickBot="1">
      <c r="A74" s="156"/>
      <c r="B74" s="148"/>
    </row>
    <row r="75" spans="1:2" ht="13.5" thickBot="1">
      <c r="A75" s="156"/>
      <c r="B75" s="148"/>
    </row>
    <row r="76" spans="1:2" ht="13.5" thickBot="1">
      <c r="A76" s="156"/>
      <c r="B76" s="148"/>
    </row>
    <row r="77" spans="1:2" ht="13.5" thickBot="1">
      <c r="A77" s="156"/>
      <c r="B77" s="148"/>
    </row>
    <row r="78" spans="1:3" ht="13.5" thickBot="1">
      <c r="A78" s="153">
        <v>17289.63</v>
      </c>
      <c r="B78" s="153">
        <v>17248.63</v>
      </c>
      <c r="C78" s="145">
        <f aca="true" t="shared" si="1" ref="C70:C133">B78/A78</f>
        <v>0.9976286363560123</v>
      </c>
    </row>
    <row r="79" spans="1:3" ht="15.75" thickBot="1">
      <c r="A79" s="157">
        <v>105702.63</v>
      </c>
      <c r="B79" s="157">
        <v>104362.9</v>
      </c>
      <c r="C79" s="145">
        <f t="shared" si="1"/>
        <v>0.9873254809270119</v>
      </c>
    </row>
    <row r="80" spans="1:3" ht="13.5" thickBot="1">
      <c r="A80" s="153">
        <v>42295.69</v>
      </c>
      <c r="B80" s="153">
        <v>41318.51</v>
      </c>
      <c r="C80" s="145">
        <f t="shared" si="1"/>
        <v>0.976896463918664</v>
      </c>
    </row>
    <row r="81" spans="1:3" ht="13.5" thickBot="1">
      <c r="A81" s="153">
        <v>21933.6</v>
      </c>
      <c r="B81" s="153">
        <v>21930.33</v>
      </c>
      <c r="C81" s="145">
        <f t="shared" si="1"/>
        <v>0.9998509136667033</v>
      </c>
    </row>
    <row r="82" spans="1:3" ht="13.5" thickBot="1">
      <c r="A82" s="153">
        <v>21339.91</v>
      </c>
      <c r="B82" s="155">
        <v>21336.64</v>
      </c>
      <c r="C82" s="145">
        <f t="shared" si="1"/>
        <v>0.9998467659891723</v>
      </c>
    </row>
    <row r="83" spans="1:2" ht="13.5" thickBot="1">
      <c r="A83" s="156"/>
      <c r="B83" s="148"/>
    </row>
    <row r="84" spans="1:3" ht="13.5" thickBot="1">
      <c r="A84" s="154">
        <v>114.82</v>
      </c>
      <c r="B84" s="149">
        <v>114.82</v>
      </c>
      <c r="C84" s="145">
        <f t="shared" si="1"/>
        <v>1</v>
      </c>
    </row>
    <row r="85" spans="1:3" ht="13.5" thickBot="1">
      <c r="A85" s="154">
        <v>478.87</v>
      </c>
      <c r="B85" s="149">
        <v>478.87</v>
      </c>
      <c r="C85" s="145">
        <f t="shared" si="1"/>
        <v>1</v>
      </c>
    </row>
    <row r="86" spans="1:3" ht="13.5" thickBot="1">
      <c r="A86" s="159">
        <v>12231.43</v>
      </c>
      <c r="B86" s="159">
        <v>11600.41</v>
      </c>
      <c r="C86" s="145">
        <f t="shared" si="1"/>
        <v>0.948409956971507</v>
      </c>
    </row>
    <row r="87" spans="1:3" ht="13.5" thickBot="1">
      <c r="A87" s="154">
        <v>18.51</v>
      </c>
      <c r="B87" s="154">
        <v>18.5</v>
      </c>
      <c r="C87" s="145">
        <f t="shared" si="1"/>
        <v>0.9994597514856833</v>
      </c>
    </row>
    <row r="88" spans="1:2" ht="13.5" thickBot="1">
      <c r="A88" s="156"/>
      <c r="B88" s="148"/>
    </row>
    <row r="89" spans="1:2" ht="13.5" thickBot="1">
      <c r="A89" s="156"/>
      <c r="B89" s="148"/>
    </row>
    <row r="90" spans="1:3" ht="13.5" thickBot="1">
      <c r="A90" s="153">
        <v>6112.02</v>
      </c>
      <c r="B90" s="155">
        <v>6112.02</v>
      </c>
      <c r="C90" s="145">
        <f t="shared" si="1"/>
        <v>1</v>
      </c>
    </row>
    <row r="91" spans="1:3" ht="13.5" thickBot="1">
      <c r="A91" s="154">
        <v>27.72</v>
      </c>
      <c r="B91" s="149">
        <v>27.72</v>
      </c>
      <c r="C91" s="145">
        <f t="shared" si="1"/>
        <v>1</v>
      </c>
    </row>
    <row r="92" spans="1:3" ht="13.5" thickBot="1">
      <c r="A92" s="154">
        <v>356.18</v>
      </c>
      <c r="B92" s="149">
        <v>356.18</v>
      </c>
      <c r="C92" s="145">
        <f t="shared" si="1"/>
        <v>1</v>
      </c>
    </row>
    <row r="93" spans="1:2" ht="13.5" thickBot="1">
      <c r="A93" s="156"/>
      <c r="B93" s="148"/>
    </row>
    <row r="94" spans="1:3" ht="13.5" thickBot="1">
      <c r="A94" s="159">
        <v>4432.16</v>
      </c>
      <c r="B94" s="159">
        <v>4364.87</v>
      </c>
      <c r="C94" s="145">
        <f t="shared" si="1"/>
        <v>0.9848177863615032</v>
      </c>
    </row>
    <row r="95" spans="1:3" ht="13.5" thickBot="1">
      <c r="A95" s="159">
        <v>1284.84</v>
      </c>
      <c r="B95" s="158">
        <v>721.12</v>
      </c>
      <c r="C95" s="145">
        <f t="shared" si="1"/>
        <v>0.5612527629899443</v>
      </c>
    </row>
    <row r="96" spans="1:2" ht="13.5" thickBot="1">
      <c r="A96" s="160"/>
      <c r="B96" s="161"/>
    </row>
    <row r="97" spans="1:3" ht="13.5" thickBot="1">
      <c r="A97" s="159">
        <v>1047.55</v>
      </c>
      <c r="B97" s="159">
        <v>1047.54</v>
      </c>
      <c r="C97" s="145">
        <f t="shared" si="1"/>
        <v>0.9999904539162808</v>
      </c>
    </row>
    <row r="98" spans="1:3" ht="13.5" thickBot="1">
      <c r="A98" s="154">
        <v>968.66</v>
      </c>
      <c r="B98" s="149">
        <v>968.66</v>
      </c>
      <c r="C98" s="145">
        <f t="shared" si="1"/>
        <v>1</v>
      </c>
    </row>
    <row r="99" spans="1:2" ht="13.5" thickBot="1">
      <c r="A99" s="156"/>
      <c r="B99" s="148"/>
    </row>
    <row r="100" spans="1:3" ht="13.5" thickBot="1">
      <c r="A100" s="154">
        <v>78.89</v>
      </c>
      <c r="B100" s="149">
        <v>78.88</v>
      </c>
      <c r="C100" s="145">
        <f t="shared" si="1"/>
        <v>0.9998732412219545</v>
      </c>
    </row>
    <row r="101" spans="1:2" ht="13.5" thickBot="1">
      <c r="A101" s="156"/>
      <c r="B101" s="148"/>
    </row>
    <row r="102" spans="1:2" ht="13.5" thickBot="1">
      <c r="A102" s="156"/>
      <c r="B102" s="148"/>
    </row>
    <row r="103" spans="1:2" ht="13.5" thickBot="1">
      <c r="A103" s="156"/>
      <c r="B103" s="148"/>
    </row>
    <row r="104" spans="1:2" ht="13.5" thickBot="1">
      <c r="A104" s="156"/>
      <c r="B104" s="156"/>
    </row>
    <row r="105" spans="1:2" ht="13.5" thickBot="1">
      <c r="A105" s="156"/>
      <c r="B105" s="156"/>
    </row>
    <row r="106" spans="1:2" ht="13.5" thickBot="1">
      <c r="A106" s="156"/>
      <c r="B106" s="156"/>
    </row>
    <row r="107" spans="1:2" ht="13.5" thickBot="1">
      <c r="A107" s="158">
        <v>0</v>
      </c>
      <c r="B107" s="158">
        <v>0</v>
      </c>
    </row>
    <row r="108" spans="1:2" ht="13.5" thickBot="1">
      <c r="A108" s="156"/>
      <c r="B108" s="156"/>
    </row>
    <row r="109" spans="1:2" ht="13.5" thickBot="1">
      <c r="A109" s="156"/>
      <c r="B109" s="156"/>
    </row>
    <row r="110" spans="1:2" ht="13.5" thickBot="1">
      <c r="A110" s="156"/>
      <c r="B110" s="156"/>
    </row>
    <row r="111" spans="1:2" ht="13.5" thickBot="1">
      <c r="A111" s="156"/>
      <c r="B111" s="156"/>
    </row>
    <row r="112" spans="1:3" ht="13.5" thickBot="1">
      <c r="A112" s="153">
        <v>5888.06</v>
      </c>
      <c r="B112" s="153">
        <v>5545.18</v>
      </c>
      <c r="C112" s="145">
        <f t="shared" si="1"/>
        <v>0.9417668977557974</v>
      </c>
    </row>
    <row r="113" spans="1:3" ht="13.5" thickBot="1">
      <c r="A113" s="153">
        <v>1195.05</v>
      </c>
      <c r="B113" s="153">
        <v>1195.05</v>
      </c>
      <c r="C113" s="145">
        <f t="shared" si="1"/>
        <v>1</v>
      </c>
    </row>
    <row r="114" spans="1:3" ht="13.5" thickBot="1">
      <c r="A114" s="153">
        <v>17234.46</v>
      </c>
      <c r="B114" s="153">
        <v>17163.83</v>
      </c>
      <c r="C114" s="145">
        <f t="shared" si="1"/>
        <v>0.995901815316523</v>
      </c>
    </row>
    <row r="115" spans="1:3" ht="13.5" thickBot="1">
      <c r="A115" s="153">
        <v>10835.26</v>
      </c>
      <c r="B115" s="153">
        <v>10830.22</v>
      </c>
      <c r="C115" s="145">
        <f t="shared" si="1"/>
        <v>0.9995348519555598</v>
      </c>
    </row>
    <row r="116" spans="1:3" ht="13.5" thickBot="1">
      <c r="A116" s="153">
        <v>10559.3</v>
      </c>
      <c r="B116" s="153">
        <v>10559.06</v>
      </c>
      <c r="C116" s="145">
        <f t="shared" si="1"/>
        <v>0.9999772712206302</v>
      </c>
    </row>
    <row r="117" spans="1:3" ht="13.5" thickBot="1">
      <c r="A117" s="154">
        <v>275.96</v>
      </c>
      <c r="B117" s="154">
        <v>271.16</v>
      </c>
      <c r="C117" s="145">
        <f t="shared" si="1"/>
        <v>0.9826061748079433</v>
      </c>
    </row>
    <row r="118" spans="1:3" ht="13.5" thickBot="1">
      <c r="A118" s="159">
        <v>3544.97</v>
      </c>
      <c r="B118" s="159">
        <v>3544.13</v>
      </c>
      <c r="C118" s="145">
        <f t="shared" si="1"/>
        <v>0.999763044539164</v>
      </c>
    </row>
    <row r="119" spans="1:3" ht="13.5" thickBot="1">
      <c r="A119" s="153">
        <v>3544.97</v>
      </c>
      <c r="B119" s="153">
        <v>3544.13</v>
      </c>
      <c r="C119" s="145">
        <f t="shared" si="1"/>
        <v>0.999763044539164</v>
      </c>
    </row>
    <row r="120" spans="1:2" ht="13.5" thickBot="1">
      <c r="A120" s="156"/>
      <c r="B120" s="156"/>
    </row>
    <row r="121" spans="1:3" ht="13.5" thickBot="1">
      <c r="A121" s="158">
        <v>327.33</v>
      </c>
      <c r="B121" s="158">
        <v>321.08</v>
      </c>
      <c r="C121" s="145">
        <f t="shared" si="1"/>
        <v>0.9809061192069166</v>
      </c>
    </row>
    <row r="122" spans="1:3" ht="13.5" thickBot="1">
      <c r="A122" s="154">
        <v>327.33</v>
      </c>
      <c r="B122" s="149">
        <v>321.08</v>
      </c>
      <c r="C122" s="145">
        <f t="shared" si="1"/>
        <v>0.9809061192069166</v>
      </c>
    </row>
    <row r="123" spans="1:2" ht="13.5" thickBot="1">
      <c r="A123" s="156"/>
      <c r="B123" s="148"/>
    </row>
    <row r="124" spans="1:3" ht="13.5" thickBot="1">
      <c r="A124" s="153">
        <v>1946.97</v>
      </c>
      <c r="B124" s="153">
        <v>1946.7</v>
      </c>
      <c r="C124" s="145">
        <f t="shared" si="1"/>
        <v>0.9998613229787824</v>
      </c>
    </row>
    <row r="125" spans="1:3" ht="13.5" thickBot="1">
      <c r="A125" s="153">
        <v>1939.33</v>
      </c>
      <c r="B125" s="155">
        <v>1939.28</v>
      </c>
      <c r="C125" s="145">
        <f t="shared" si="1"/>
        <v>0.9999742178999964</v>
      </c>
    </row>
    <row r="126" spans="1:2" ht="13.5" thickBot="1">
      <c r="A126" s="156"/>
      <c r="B126" s="156"/>
    </row>
    <row r="127" spans="1:3" ht="13.5" thickBot="1">
      <c r="A127" s="154">
        <v>7.64</v>
      </c>
      <c r="B127" s="149">
        <v>7.42</v>
      </c>
      <c r="C127" s="145">
        <f t="shared" si="1"/>
        <v>0.9712041884816754</v>
      </c>
    </row>
    <row r="128" spans="1:3" ht="13.5" thickBot="1">
      <c r="A128" s="158">
        <v>579.93</v>
      </c>
      <c r="B128" s="158">
        <v>521.7</v>
      </c>
      <c r="C128" s="145">
        <f t="shared" si="1"/>
        <v>0.8995913299881022</v>
      </c>
    </row>
    <row r="129" spans="1:3" ht="13.5" thickBot="1">
      <c r="A129" s="154">
        <v>579.93</v>
      </c>
      <c r="B129" s="149">
        <v>521.7</v>
      </c>
      <c r="C129" s="145">
        <f t="shared" si="1"/>
        <v>0.8995913299881022</v>
      </c>
    </row>
    <row r="130" spans="1:2" ht="13.5" thickBot="1">
      <c r="A130" s="156"/>
      <c r="B130" s="148"/>
    </row>
    <row r="131" spans="1:2" ht="13.5" thickBot="1">
      <c r="A131" s="156"/>
      <c r="B131" s="148"/>
    </row>
    <row r="132" spans="1:3" ht="13.5" thickBot="1">
      <c r="A132" s="158">
        <v>47.97</v>
      </c>
      <c r="B132" s="158">
        <v>47.97</v>
      </c>
      <c r="C132" s="145">
        <f t="shared" si="1"/>
        <v>1</v>
      </c>
    </row>
    <row r="133" spans="1:3" ht="13.5" thickBot="1">
      <c r="A133" s="153">
        <v>43991.62</v>
      </c>
      <c r="B133" s="153">
        <v>43699.71</v>
      </c>
      <c r="C133" s="145">
        <f t="shared" si="1"/>
        <v>0.993364418041436</v>
      </c>
    </row>
    <row r="134" spans="1:3" ht="13.5" thickBot="1">
      <c r="A134" s="159">
        <v>43236.15</v>
      </c>
      <c r="B134" s="159">
        <v>42950.96</v>
      </c>
      <c r="C134" s="145">
        <f aca="true" t="shared" si="2" ref="C134:C162">B134/A134</f>
        <v>0.9934038992833543</v>
      </c>
    </row>
    <row r="135" spans="1:3" ht="13.5" thickBot="1">
      <c r="A135" s="153">
        <v>37742.65</v>
      </c>
      <c r="B135" s="155">
        <v>37461.28</v>
      </c>
      <c r="C135" s="145">
        <f t="shared" si="2"/>
        <v>0.9925450385704235</v>
      </c>
    </row>
    <row r="136" spans="1:3" ht="13.5" thickBot="1">
      <c r="A136" s="153">
        <v>5493.5</v>
      </c>
      <c r="B136" s="155">
        <v>5489.68</v>
      </c>
      <c r="C136" s="145">
        <f t="shared" si="2"/>
        <v>0.9993046327477929</v>
      </c>
    </row>
    <row r="137" spans="1:2" ht="13.5" thickBot="1">
      <c r="A137" s="156"/>
      <c r="B137" s="148"/>
    </row>
    <row r="138" spans="1:2" ht="13.5" thickBot="1">
      <c r="A138" s="158">
        <v>0</v>
      </c>
      <c r="B138" s="158">
        <v>0</v>
      </c>
    </row>
    <row r="139" spans="1:2" ht="13.5" thickBot="1">
      <c r="A139" s="158"/>
      <c r="B139" s="158"/>
    </row>
    <row r="140" spans="1:2" ht="13.5" thickBot="1">
      <c r="A140" s="158"/>
      <c r="B140" s="158"/>
    </row>
    <row r="141" spans="1:2" ht="13.5" thickBot="1">
      <c r="A141" s="158"/>
      <c r="B141" s="158"/>
    </row>
    <row r="142" spans="1:2" ht="13.5" thickBot="1">
      <c r="A142" s="158"/>
      <c r="B142" s="158"/>
    </row>
    <row r="143" spans="1:2" ht="13.5" thickBot="1">
      <c r="A143" s="156"/>
      <c r="B143" s="148"/>
    </row>
    <row r="144" spans="1:3" ht="13.5" thickBot="1">
      <c r="A144" s="158">
        <v>755.47</v>
      </c>
      <c r="B144" s="158">
        <v>748.75</v>
      </c>
      <c r="C144" s="145">
        <f t="shared" si="2"/>
        <v>0.9911048751108581</v>
      </c>
    </row>
    <row r="145" spans="1:3" ht="13.5" thickBot="1">
      <c r="A145" s="154">
        <v>659.59</v>
      </c>
      <c r="B145" s="154">
        <v>659.59</v>
      </c>
      <c r="C145" s="145">
        <f t="shared" si="2"/>
        <v>1</v>
      </c>
    </row>
    <row r="146" spans="1:3" ht="13.5" thickBot="1">
      <c r="A146" s="154">
        <v>95.88</v>
      </c>
      <c r="B146" s="154">
        <v>89.16</v>
      </c>
      <c r="C146" s="145">
        <f t="shared" si="2"/>
        <v>0.9299123904881101</v>
      </c>
    </row>
    <row r="147" spans="1:2" ht="13.5" thickBot="1">
      <c r="A147" s="156"/>
      <c r="B147" s="156"/>
    </row>
    <row r="148" spans="1:3" ht="13.5" thickBot="1">
      <c r="A148" s="154">
        <v>320.67</v>
      </c>
      <c r="B148" s="154">
        <v>320.67</v>
      </c>
      <c r="C148" s="145">
        <f t="shared" si="2"/>
        <v>1</v>
      </c>
    </row>
    <row r="149" spans="1:3" ht="13.5" thickBot="1">
      <c r="A149" s="153">
        <v>1812.22</v>
      </c>
      <c r="B149" s="153">
        <v>1812.21</v>
      </c>
      <c r="C149" s="145">
        <f t="shared" si="2"/>
        <v>0.9999944819061704</v>
      </c>
    </row>
    <row r="150" spans="1:3" ht="13.5" thickBot="1">
      <c r="A150" s="159">
        <v>14785</v>
      </c>
      <c r="B150" s="159">
        <v>14784.04</v>
      </c>
      <c r="C150" s="145">
        <f t="shared" si="2"/>
        <v>0.9999350693270207</v>
      </c>
    </row>
    <row r="151" spans="1:3" ht="13.5" thickBot="1">
      <c r="A151" s="159">
        <v>14785</v>
      </c>
      <c r="B151" s="159">
        <v>14784.04</v>
      </c>
      <c r="C151" s="145">
        <f t="shared" si="2"/>
        <v>0.9999350693270207</v>
      </c>
    </row>
    <row r="152" spans="1:3" ht="13.5" thickBot="1">
      <c r="A152" s="159">
        <v>14785</v>
      </c>
      <c r="B152" s="159">
        <v>14784.04</v>
      </c>
      <c r="C152" s="145">
        <f t="shared" si="2"/>
        <v>0.9999350693270207</v>
      </c>
    </row>
    <row r="153" spans="1:3" ht="13.5" thickBot="1">
      <c r="A153" s="155">
        <v>13141</v>
      </c>
      <c r="B153" s="155">
        <v>13140.6</v>
      </c>
      <c r="C153" s="145">
        <f t="shared" si="2"/>
        <v>0.9999695609162165</v>
      </c>
    </row>
    <row r="154" spans="1:3" ht="13.5" thickBot="1">
      <c r="A154" s="153">
        <v>7603.69</v>
      </c>
      <c r="B154" s="153">
        <v>7603.69</v>
      </c>
      <c r="C154" s="145">
        <f t="shared" si="2"/>
        <v>1</v>
      </c>
    </row>
    <row r="155" spans="1:3" ht="13.5" thickBot="1">
      <c r="A155" s="153">
        <v>7603.69</v>
      </c>
      <c r="B155" s="153">
        <v>7603.69</v>
      </c>
      <c r="C155" s="145">
        <f t="shared" si="2"/>
        <v>1</v>
      </c>
    </row>
    <row r="156" spans="1:3" ht="13.5" thickBot="1">
      <c r="A156" s="153">
        <v>7603.69</v>
      </c>
      <c r="B156" s="153">
        <v>7603.69</v>
      </c>
      <c r="C156" s="145">
        <f t="shared" si="2"/>
        <v>1</v>
      </c>
    </row>
    <row r="157" spans="1:3" ht="13.5" thickBot="1">
      <c r="A157" s="153">
        <v>7603.69</v>
      </c>
      <c r="B157" s="153">
        <v>7603.69</v>
      </c>
      <c r="C157" s="145">
        <f t="shared" si="2"/>
        <v>1</v>
      </c>
    </row>
    <row r="158" spans="1:3" ht="13.5" thickBot="1">
      <c r="A158" s="153">
        <v>7603.69</v>
      </c>
      <c r="B158" s="153">
        <v>7603.69</v>
      </c>
      <c r="C158" s="145">
        <f t="shared" si="2"/>
        <v>1</v>
      </c>
    </row>
    <row r="159" spans="1:3" ht="13.5" thickBot="1">
      <c r="A159" s="153">
        <v>7603.69</v>
      </c>
      <c r="B159" s="153">
        <v>7603.69</v>
      </c>
      <c r="C159" s="145">
        <f t="shared" si="2"/>
        <v>1</v>
      </c>
    </row>
    <row r="160" spans="1:3" ht="13.5" thickBot="1">
      <c r="A160" s="153">
        <v>3747</v>
      </c>
      <c r="B160" s="155">
        <v>3747</v>
      </c>
      <c r="C160" s="145">
        <f t="shared" si="2"/>
        <v>1</v>
      </c>
    </row>
    <row r="161" spans="1:3" ht="13.5" thickBot="1">
      <c r="A161" s="153">
        <v>3747</v>
      </c>
      <c r="B161" s="155">
        <v>3747</v>
      </c>
      <c r="C161" s="145">
        <f t="shared" si="2"/>
        <v>1</v>
      </c>
    </row>
    <row r="162" spans="1:3" ht="13.5" thickBot="1">
      <c r="A162" s="153">
        <v>3835.69</v>
      </c>
      <c r="B162" s="153">
        <v>3835.69</v>
      </c>
      <c r="C162" s="145">
        <f t="shared" si="2"/>
        <v>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2017-07-10T07:46:44Z</cp:lastPrinted>
  <dcterms:created xsi:type="dcterms:W3CDTF">2015-02-12T11:23:55Z</dcterms:created>
  <dcterms:modified xsi:type="dcterms:W3CDTF">2017-07-25T11:44:19Z</dcterms:modified>
  <cp:category/>
  <cp:version/>
  <cp:contentType/>
  <cp:contentStatus/>
</cp:coreProperties>
</file>